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ucgue\Documents\PLANES DEL DECRETO 612 DE 2018\"/>
    </mc:Choice>
  </mc:AlternateContent>
  <xr:revisionPtr revIDLastSave="0" documentId="8_{1F2FE523-7008-44B9-9507-610FE0D736AD}" xr6:coauthVersionLast="47" xr6:coauthVersionMax="47" xr10:uidLastSave="{00000000-0000-0000-0000-000000000000}"/>
  <bookViews>
    <workbookView xWindow="-120" yWindow="-120" windowWidth="29040" windowHeight="15720" xr2:uid="{00000000-000D-0000-FFFF-FFFF00000000}"/>
  </bookViews>
  <sheets>
    <sheet name="Matriz" sheetId="3" r:id="rId1"/>
    <sheet name="Tipologías" sheetId="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0" hidden="1">Matriz!$A$9:$BE$133</definedName>
    <definedName name="APOYO">Tipologías!$B$88:$B$94</definedName>
    <definedName name="_xlnm.Print_Area" localSheetId="0">Matriz!$E$19:$BH$131</definedName>
    <definedName name="DESPACHO_SECRETARIA">Tipologías!$D$80:$D$86</definedName>
    <definedName name="DIRECCION_DE_ARTE_CULTURA_Y_PATRIMONIO">Tipologías!$D$94:$D$96</definedName>
    <definedName name="DIRECCION_DE_GESTION_CORPORATIVA">Tipologías!$D$98:$D$102</definedName>
    <definedName name="DIRECCION_DE_LECTURAS_Y_BIBLIOTECAS">Tipologías!$D$97</definedName>
    <definedName name="ESTRATEGICOS">Tipologías!$B$80:$B$82</definedName>
    <definedName name="EVALUACION">Tipologías!$B$95:$B$95</definedName>
    <definedName name="Frecuencia">Tipologías!$A$65:$A$74</definedName>
    <definedName name="MISIONALES">Tipologías!$B$83:$B$87</definedName>
    <definedName name="OFICINA_DE_TECNOLOGIAS_DE_LA_INFORMACIÓN">Tipologías!$D$103</definedName>
    <definedName name="SUBSECRETARÍA_DE_GOBERNANZA">Tipologías!$D$87:$D$91</definedName>
    <definedName name="SUBSECRETARÍA_DISTRITAL_DE_CULTURA_CIUDADANA_Y_GESTION_DEL_CONOCIMIENTO">Tipologías!$D$92:$D$93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37" i="3" l="1"/>
  <c r="AZ38" i="3"/>
  <c r="AY37" i="3"/>
  <c r="AY38" i="3"/>
  <c r="AX37" i="3"/>
  <c r="AX38" i="3"/>
  <c r="AZ36" i="3"/>
  <c r="AY36" i="3"/>
  <c r="AX36" i="3"/>
  <c r="AZ129" i="3" l="1"/>
  <c r="AY129" i="3"/>
  <c r="AX129" i="3"/>
  <c r="AV129" i="3"/>
  <c r="AW129" i="3" s="1"/>
  <c r="AS129" i="3"/>
  <c r="AH129" i="3" s="1"/>
  <c r="AQ129" i="3"/>
  <c r="AP129" i="3"/>
  <c r="AT129" i="3" s="1"/>
  <c r="AK129" i="3" s="1"/>
  <c r="AN129" i="3"/>
  <c r="AO129" i="3" s="1"/>
  <c r="AL129" i="3"/>
  <c r="AM129" i="3" s="1"/>
  <c r="AZ128" i="3"/>
  <c r="AY128" i="3"/>
  <c r="AX128" i="3"/>
  <c r="AV128" i="3"/>
  <c r="AW128" i="3" s="1"/>
  <c r="AS128" i="3"/>
  <c r="AH128" i="3" s="1"/>
  <c r="AQ128" i="3"/>
  <c r="AP128" i="3"/>
  <c r="AT128" i="3" s="1"/>
  <c r="AK128" i="3" s="1"/>
  <c r="AN128" i="3"/>
  <c r="AO128" i="3" s="1"/>
  <c r="AL128" i="3"/>
  <c r="AM128" i="3" s="1"/>
  <c r="AR128" i="3" s="1"/>
  <c r="AZ127" i="3"/>
  <c r="AY127" i="3"/>
  <c r="AX127" i="3"/>
  <c r="AV127" i="3"/>
  <c r="AW127" i="3" s="1"/>
  <c r="AS127" i="3"/>
  <c r="AH127" i="3" s="1"/>
  <c r="AQ127" i="3"/>
  <c r="AP127" i="3"/>
  <c r="AT127" i="3" s="1"/>
  <c r="AK127" i="3" s="1"/>
  <c r="AN127" i="3"/>
  <c r="AO127" i="3" s="1"/>
  <c r="AL127" i="3"/>
  <c r="AM127" i="3" s="1"/>
  <c r="AZ126" i="3"/>
  <c r="AY126" i="3"/>
  <c r="AX126" i="3"/>
  <c r="AV126" i="3"/>
  <c r="AW126" i="3" s="1"/>
  <c r="AS126" i="3"/>
  <c r="AQ126" i="3"/>
  <c r="AP126" i="3"/>
  <c r="AT126" i="3" s="1"/>
  <c r="AK126" i="3" s="1"/>
  <c r="AN126" i="3"/>
  <c r="AO126" i="3" s="1"/>
  <c r="AL126" i="3"/>
  <c r="AM126" i="3" s="1"/>
  <c r="AH126" i="3"/>
  <c r="AZ125" i="3"/>
  <c r="AY125" i="3"/>
  <c r="AX125" i="3"/>
  <c r="AV125" i="3"/>
  <c r="AW125" i="3" s="1"/>
  <c r="AS125" i="3"/>
  <c r="AH125" i="3" s="1"/>
  <c r="AQ125" i="3"/>
  <c r="AP125" i="3"/>
  <c r="AT125" i="3" s="1"/>
  <c r="AK125" i="3" s="1"/>
  <c r="AN125" i="3"/>
  <c r="AO125" i="3" s="1"/>
  <c r="AL125" i="3"/>
  <c r="AM125" i="3" s="1"/>
  <c r="AZ124" i="3"/>
  <c r="AY124" i="3"/>
  <c r="AX124" i="3"/>
  <c r="AV124" i="3"/>
  <c r="AW124" i="3" s="1"/>
  <c r="AS124" i="3"/>
  <c r="AH124" i="3" s="1"/>
  <c r="AQ124" i="3"/>
  <c r="AP124" i="3"/>
  <c r="AT124" i="3" s="1"/>
  <c r="AK124" i="3" s="1"/>
  <c r="AN124" i="3"/>
  <c r="AO124" i="3" s="1"/>
  <c r="AL124" i="3"/>
  <c r="AM124" i="3" s="1"/>
  <c r="AR124" i="3" s="1"/>
  <c r="AZ123" i="3"/>
  <c r="AY123" i="3"/>
  <c r="AX123" i="3"/>
  <c r="AV123" i="3"/>
  <c r="AW123" i="3" s="1"/>
  <c r="AS123" i="3"/>
  <c r="AH123" i="3" s="1"/>
  <c r="AQ123" i="3"/>
  <c r="AP123" i="3"/>
  <c r="AN123" i="3"/>
  <c r="AO123" i="3" s="1"/>
  <c r="AL123" i="3"/>
  <c r="AM123" i="3" s="1"/>
  <c r="AZ122" i="3"/>
  <c r="AY122" i="3"/>
  <c r="AX122" i="3"/>
  <c r="AV122" i="3"/>
  <c r="AW122" i="3" s="1"/>
  <c r="AS122" i="3"/>
  <c r="AQ122" i="3"/>
  <c r="AP122" i="3"/>
  <c r="AT122" i="3" s="1"/>
  <c r="AK122" i="3" s="1"/>
  <c r="AN122" i="3"/>
  <c r="AO122" i="3" s="1"/>
  <c r="AL122" i="3"/>
  <c r="AM122" i="3" s="1"/>
  <c r="AH122" i="3"/>
  <c r="AZ121" i="3"/>
  <c r="AY121" i="3"/>
  <c r="AX121" i="3"/>
  <c r="AV121" i="3"/>
  <c r="AW121" i="3" s="1"/>
  <c r="AS121" i="3"/>
  <c r="AH121" i="3" s="1"/>
  <c r="AQ121" i="3"/>
  <c r="AP121" i="3"/>
  <c r="AN121" i="3"/>
  <c r="AO121" i="3" s="1"/>
  <c r="AL121" i="3"/>
  <c r="AM121" i="3" s="1"/>
  <c r="AR121" i="3" l="1"/>
  <c r="AT121" i="3"/>
  <c r="AK121" i="3" s="1"/>
  <c r="AR125" i="3"/>
  <c r="AT123" i="3"/>
  <c r="AK123" i="3" s="1"/>
  <c r="AR129" i="3"/>
  <c r="AU129" i="3" s="1"/>
  <c r="AR123" i="3"/>
  <c r="AU123" i="3" s="1"/>
  <c r="AR127" i="3"/>
  <c r="AU124" i="3"/>
  <c r="AF124" i="3"/>
  <c r="AU125" i="3"/>
  <c r="AF125" i="3"/>
  <c r="AF129" i="3"/>
  <c r="AR122" i="3"/>
  <c r="AR126" i="3"/>
  <c r="AF128" i="3"/>
  <c r="AU128" i="3"/>
  <c r="AU121" i="3"/>
  <c r="AF121" i="3"/>
  <c r="AU127" i="3"/>
  <c r="AF127" i="3"/>
  <c r="AF123" i="3" l="1"/>
  <c r="AU126" i="3"/>
  <c r="AF126" i="3"/>
  <c r="AU122" i="3"/>
  <c r="AF122" i="3"/>
  <c r="AZ65" i="3" l="1"/>
  <c r="AY65" i="3"/>
  <c r="AX65" i="3"/>
  <c r="AX11" i="3"/>
  <c r="AX12" i="3"/>
  <c r="AX13" i="3"/>
  <c r="AX14" i="3"/>
  <c r="AX10" i="3"/>
  <c r="AY11" i="3"/>
  <c r="AY12" i="3"/>
  <c r="AY13" i="3"/>
  <c r="AY10" i="3"/>
  <c r="AZ120" i="3" l="1"/>
  <c r="AY120" i="3"/>
  <c r="AX120" i="3"/>
  <c r="AV120" i="3"/>
  <c r="AW120" i="3" s="1"/>
  <c r="AS120" i="3"/>
  <c r="AH120" i="3" s="1"/>
  <c r="AQ120" i="3"/>
  <c r="AP120" i="3"/>
  <c r="AN120" i="3"/>
  <c r="AO120" i="3" s="1"/>
  <c r="AL120" i="3"/>
  <c r="AM120" i="3" s="1"/>
  <c r="AZ119" i="3"/>
  <c r="AY119" i="3"/>
  <c r="AX119" i="3"/>
  <c r="AV119" i="3"/>
  <c r="AW119" i="3" s="1"/>
  <c r="AS119" i="3"/>
  <c r="AH119" i="3" s="1"/>
  <c r="AQ119" i="3"/>
  <c r="AP119" i="3"/>
  <c r="AN119" i="3"/>
  <c r="AO119" i="3" s="1"/>
  <c r="AL119" i="3"/>
  <c r="AM119" i="3" s="1"/>
  <c r="AZ118" i="3"/>
  <c r="AY118" i="3"/>
  <c r="AX118" i="3"/>
  <c r="AV118" i="3"/>
  <c r="AW118" i="3" s="1"/>
  <c r="AS118" i="3"/>
  <c r="AH118" i="3" s="1"/>
  <c r="AQ118" i="3"/>
  <c r="AP118" i="3"/>
  <c r="AN118" i="3"/>
  <c r="AO118" i="3" s="1"/>
  <c r="AL118" i="3"/>
  <c r="AM118" i="3" s="1"/>
  <c r="AZ117" i="3"/>
  <c r="AY117" i="3"/>
  <c r="AX117" i="3"/>
  <c r="AV117" i="3"/>
  <c r="AW117" i="3" s="1"/>
  <c r="AS117" i="3"/>
  <c r="AH117" i="3" s="1"/>
  <c r="AQ117" i="3"/>
  <c r="AP117" i="3"/>
  <c r="AN117" i="3"/>
  <c r="AO117" i="3" s="1"/>
  <c r="AL117" i="3"/>
  <c r="AM117" i="3" s="1"/>
  <c r="AZ116" i="3"/>
  <c r="AY116" i="3"/>
  <c r="AX116" i="3"/>
  <c r="AV116" i="3"/>
  <c r="AW116" i="3" s="1"/>
  <c r="AS116" i="3"/>
  <c r="AH116" i="3" s="1"/>
  <c r="AQ116" i="3"/>
  <c r="AP116" i="3"/>
  <c r="AN116" i="3"/>
  <c r="AO116" i="3" s="1"/>
  <c r="AL116" i="3"/>
  <c r="AM116" i="3" s="1"/>
  <c r="AZ115" i="3"/>
  <c r="AY115" i="3"/>
  <c r="AX115" i="3"/>
  <c r="AV115" i="3"/>
  <c r="AW115" i="3" s="1"/>
  <c r="AS115" i="3"/>
  <c r="AH115" i="3" s="1"/>
  <c r="AQ115" i="3"/>
  <c r="AP115" i="3"/>
  <c r="AN115" i="3"/>
  <c r="AO115" i="3" s="1"/>
  <c r="AL115" i="3"/>
  <c r="AM115" i="3" s="1"/>
  <c r="AZ114" i="3"/>
  <c r="AY114" i="3"/>
  <c r="AX114" i="3"/>
  <c r="AV114" i="3"/>
  <c r="AW114" i="3" s="1"/>
  <c r="AS114" i="3"/>
  <c r="AH114" i="3" s="1"/>
  <c r="AQ114" i="3"/>
  <c r="AP114" i="3"/>
  <c r="AN114" i="3"/>
  <c r="AO114" i="3" s="1"/>
  <c r="AL114" i="3"/>
  <c r="AM114" i="3" s="1"/>
  <c r="AZ113" i="3"/>
  <c r="AY113" i="3"/>
  <c r="AX113" i="3"/>
  <c r="AV113" i="3"/>
  <c r="AW113" i="3" s="1"/>
  <c r="AS113" i="3"/>
  <c r="AH113" i="3" s="1"/>
  <c r="AQ113" i="3"/>
  <c r="AP113" i="3"/>
  <c r="AN113" i="3"/>
  <c r="AO113" i="3" s="1"/>
  <c r="AL113" i="3"/>
  <c r="AM113" i="3" s="1"/>
  <c r="AZ112" i="3"/>
  <c r="AY112" i="3"/>
  <c r="AX112" i="3"/>
  <c r="AV112" i="3"/>
  <c r="AW112" i="3" s="1"/>
  <c r="AS112" i="3"/>
  <c r="AH112" i="3" s="1"/>
  <c r="AQ112" i="3"/>
  <c r="AP112" i="3"/>
  <c r="AN112" i="3"/>
  <c r="AO112" i="3" s="1"/>
  <c r="AL112" i="3"/>
  <c r="AM112" i="3" s="1"/>
  <c r="AZ111" i="3"/>
  <c r="AY111" i="3"/>
  <c r="AX111" i="3"/>
  <c r="AV111" i="3"/>
  <c r="AW111" i="3" s="1"/>
  <c r="AS111" i="3"/>
  <c r="AH111" i="3" s="1"/>
  <c r="AQ111" i="3"/>
  <c r="AP111" i="3"/>
  <c r="AN111" i="3"/>
  <c r="AO111" i="3" s="1"/>
  <c r="AL111" i="3"/>
  <c r="AM111" i="3" s="1"/>
  <c r="AT117" i="3" l="1"/>
  <c r="AK117" i="3" s="1"/>
  <c r="AT112" i="3"/>
  <c r="AK112" i="3" s="1"/>
  <c r="AR113" i="3"/>
  <c r="AF113" i="3" s="1"/>
  <c r="AT113" i="3"/>
  <c r="AK113" i="3" s="1"/>
  <c r="AT116" i="3"/>
  <c r="AK116" i="3" s="1"/>
  <c r="AR117" i="3"/>
  <c r="AR114" i="3"/>
  <c r="AR116" i="3"/>
  <c r="AT120" i="3"/>
  <c r="AK120" i="3" s="1"/>
  <c r="AR118" i="3"/>
  <c r="AF118" i="3" s="1"/>
  <c r="AR112" i="3"/>
  <c r="AU112" i="3" s="1"/>
  <c r="AT111" i="3"/>
  <c r="AK111" i="3" s="1"/>
  <c r="AT114" i="3"/>
  <c r="AK114" i="3" s="1"/>
  <c r="AT115" i="3"/>
  <c r="AK115" i="3" s="1"/>
  <c r="AT118" i="3"/>
  <c r="AK118" i="3" s="1"/>
  <c r="AT119" i="3"/>
  <c r="AK119" i="3" s="1"/>
  <c r="AR120" i="3"/>
  <c r="AF120" i="3" s="1"/>
  <c r="AF117" i="3"/>
  <c r="AR111" i="3"/>
  <c r="AR115" i="3"/>
  <c r="AR119" i="3"/>
  <c r="AU116" i="3" l="1"/>
  <c r="AF116" i="3"/>
  <c r="AU114" i="3"/>
  <c r="AU113" i="3"/>
  <c r="AU120" i="3"/>
  <c r="AU117" i="3"/>
  <c r="AF112" i="3"/>
  <c r="AU118" i="3"/>
  <c r="AF114" i="3"/>
  <c r="AU111" i="3"/>
  <c r="AF111" i="3"/>
  <c r="AF115" i="3"/>
  <c r="AU115" i="3"/>
  <c r="AU119" i="3"/>
  <c r="AF119" i="3"/>
  <c r="AZ110" i="3" l="1"/>
  <c r="AY110" i="3"/>
  <c r="AX110" i="3"/>
  <c r="AV110" i="3"/>
  <c r="AW110" i="3" s="1"/>
  <c r="AS110" i="3"/>
  <c r="AH110" i="3" s="1"/>
  <c r="AQ110" i="3"/>
  <c r="AP110" i="3"/>
  <c r="AN110" i="3"/>
  <c r="AO110" i="3" s="1"/>
  <c r="AL110" i="3"/>
  <c r="AM110" i="3" s="1"/>
  <c r="AZ109" i="3"/>
  <c r="AY109" i="3"/>
  <c r="AX109" i="3"/>
  <c r="AV109" i="3"/>
  <c r="AW109" i="3" s="1"/>
  <c r="AS109" i="3"/>
  <c r="AH109" i="3" s="1"/>
  <c r="AQ109" i="3"/>
  <c r="AP109" i="3"/>
  <c r="AN109" i="3"/>
  <c r="AO109" i="3" s="1"/>
  <c r="AL109" i="3"/>
  <c r="AM109" i="3" s="1"/>
  <c r="AZ108" i="3"/>
  <c r="AY108" i="3"/>
  <c r="AX108" i="3"/>
  <c r="AV108" i="3"/>
  <c r="AW108" i="3" s="1"/>
  <c r="AS108" i="3"/>
  <c r="AH108" i="3" s="1"/>
  <c r="AQ108" i="3"/>
  <c r="AP108" i="3"/>
  <c r="AN108" i="3"/>
  <c r="AO108" i="3" s="1"/>
  <c r="AL108" i="3"/>
  <c r="AM108" i="3" s="1"/>
  <c r="AZ107" i="3"/>
  <c r="AY107" i="3"/>
  <c r="AX107" i="3"/>
  <c r="AV107" i="3"/>
  <c r="AW107" i="3" s="1"/>
  <c r="AS107" i="3"/>
  <c r="AQ107" i="3"/>
  <c r="AP107" i="3"/>
  <c r="AN107" i="3"/>
  <c r="AO107" i="3" s="1"/>
  <c r="AL107" i="3"/>
  <c r="AM107" i="3" s="1"/>
  <c r="AZ106" i="3"/>
  <c r="AY106" i="3"/>
  <c r="AX106" i="3"/>
  <c r="AV106" i="3"/>
  <c r="AW106" i="3" s="1"/>
  <c r="AS106" i="3"/>
  <c r="AH106" i="3" s="1"/>
  <c r="AQ106" i="3"/>
  <c r="AP106" i="3"/>
  <c r="AN106" i="3"/>
  <c r="AO106" i="3" s="1"/>
  <c r="AL106" i="3"/>
  <c r="AM106" i="3" s="1"/>
  <c r="AZ105" i="3"/>
  <c r="AY105" i="3"/>
  <c r="AX105" i="3"/>
  <c r="AV105" i="3"/>
  <c r="AW105" i="3" s="1"/>
  <c r="AS105" i="3"/>
  <c r="AH105" i="3" s="1"/>
  <c r="AQ105" i="3"/>
  <c r="AP105" i="3"/>
  <c r="AN105" i="3"/>
  <c r="AO105" i="3" s="1"/>
  <c r="AL105" i="3"/>
  <c r="AM105" i="3" s="1"/>
  <c r="AZ104" i="3"/>
  <c r="AY104" i="3"/>
  <c r="AX104" i="3"/>
  <c r="AV104" i="3"/>
  <c r="AW104" i="3" s="1"/>
  <c r="AS104" i="3"/>
  <c r="AH104" i="3" s="1"/>
  <c r="AQ104" i="3"/>
  <c r="AP104" i="3"/>
  <c r="AN104" i="3"/>
  <c r="AO104" i="3" s="1"/>
  <c r="AL104" i="3"/>
  <c r="AM104" i="3" s="1"/>
  <c r="AZ103" i="3"/>
  <c r="AY103" i="3"/>
  <c r="AX103" i="3"/>
  <c r="AV103" i="3"/>
  <c r="AW103" i="3" s="1"/>
  <c r="AS103" i="3"/>
  <c r="AH103" i="3" s="1"/>
  <c r="AQ103" i="3"/>
  <c r="AP103" i="3"/>
  <c r="AN103" i="3"/>
  <c r="AO103" i="3" s="1"/>
  <c r="AL103" i="3"/>
  <c r="AM103" i="3" s="1"/>
  <c r="AZ102" i="3"/>
  <c r="AY102" i="3"/>
  <c r="AX102" i="3"/>
  <c r="AV102" i="3"/>
  <c r="AW102" i="3" s="1"/>
  <c r="AS102" i="3"/>
  <c r="AH102" i="3" s="1"/>
  <c r="AQ102" i="3"/>
  <c r="AP102" i="3"/>
  <c r="AN102" i="3"/>
  <c r="AO102" i="3" s="1"/>
  <c r="AL102" i="3"/>
  <c r="AM102" i="3" s="1"/>
  <c r="AZ101" i="3"/>
  <c r="AY101" i="3"/>
  <c r="AX101" i="3"/>
  <c r="AV101" i="3"/>
  <c r="AW101" i="3" s="1"/>
  <c r="AS101" i="3"/>
  <c r="AH101" i="3" s="1"/>
  <c r="AQ101" i="3"/>
  <c r="AP101" i="3"/>
  <c r="AN101" i="3"/>
  <c r="AO101" i="3" s="1"/>
  <c r="AL101" i="3"/>
  <c r="AM101" i="3" s="1"/>
  <c r="AR109" i="3" l="1"/>
  <c r="AF109" i="3" s="1"/>
  <c r="AR108" i="3"/>
  <c r="AF108" i="3" s="1"/>
  <c r="AT109" i="3"/>
  <c r="AK109" i="3" s="1"/>
  <c r="AR110" i="3"/>
  <c r="AF110" i="3" s="1"/>
  <c r="AT108" i="3"/>
  <c r="AK108" i="3" s="1"/>
  <c r="AT110" i="3"/>
  <c r="AK110" i="3" s="1"/>
  <c r="AT103" i="3"/>
  <c r="AK103" i="3" s="1"/>
  <c r="AT104" i="3"/>
  <c r="AK104" i="3" s="1"/>
  <c r="AR101" i="3"/>
  <c r="AR102" i="3"/>
  <c r="AR104" i="3"/>
  <c r="AT105" i="3"/>
  <c r="AK105" i="3" s="1"/>
  <c r="AT107" i="3"/>
  <c r="AT101" i="3"/>
  <c r="AK101" i="3" s="1"/>
  <c r="AT102" i="3"/>
  <c r="AK102" i="3" s="1"/>
  <c r="AT106" i="3"/>
  <c r="AK106" i="3" s="1"/>
  <c r="AR107" i="3"/>
  <c r="AU107" i="3" s="1"/>
  <c r="AR103" i="3"/>
  <c r="AR105" i="3"/>
  <c r="AR106" i="3"/>
  <c r="AU109" i="3" l="1"/>
  <c r="AU110" i="3"/>
  <c r="AU108" i="3"/>
  <c r="AU103" i="3"/>
  <c r="AU105" i="3"/>
  <c r="AU104" i="3"/>
  <c r="AU101" i="3"/>
  <c r="AU106" i="3"/>
  <c r="AU102" i="3"/>
  <c r="AK13" i="3" l="1"/>
  <c r="AK12" i="3"/>
  <c r="AK11" i="3"/>
  <c r="AK10" i="3"/>
  <c r="AH65" i="3"/>
  <c r="AH10" i="3"/>
  <c r="AH11" i="3"/>
  <c r="AH13" i="3"/>
  <c r="AZ100" i="3" l="1"/>
  <c r="AY100" i="3"/>
  <c r="AX100" i="3"/>
  <c r="AV100" i="3"/>
  <c r="AW100" i="3" s="1"/>
  <c r="AS100" i="3"/>
  <c r="AH100" i="3" s="1"/>
  <c r="AQ100" i="3"/>
  <c r="AP100" i="3"/>
  <c r="AN100" i="3"/>
  <c r="AO100" i="3" s="1"/>
  <c r="AL100" i="3"/>
  <c r="AM100" i="3" s="1"/>
  <c r="AZ99" i="3"/>
  <c r="AY99" i="3"/>
  <c r="AX99" i="3"/>
  <c r="AV99" i="3"/>
  <c r="AW99" i="3" s="1"/>
  <c r="AS99" i="3"/>
  <c r="AH99" i="3" s="1"/>
  <c r="AQ99" i="3"/>
  <c r="AP99" i="3"/>
  <c r="AN99" i="3"/>
  <c r="AO99" i="3" s="1"/>
  <c r="AL99" i="3"/>
  <c r="AM99" i="3" s="1"/>
  <c r="AZ98" i="3"/>
  <c r="AY98" i="3"/>
  <c r="AX98" i="3"/>
  <c r="AV98" i="3"/>
  <c r="AW98" i="3" s="1"/>
  <c r="AS98" i="3"/>
  <c r="AH98" i="3" s="1"/>
  <c r="AQ98" i="3"/>
  <c r="AP98" i="3"/>
  <c r="AN98" i="3"/>
  <c r="AO98" i="3" s="1"/>
  <c r="AL98" i="3"/>
  <c r="AM98" i="3" s="1"/>
  <c r="AR100" i="3" l="1"/>
  <c r="AF100" i="3" s="1"/>
  <c r="AT100" i="3"/>
  <c r="AK100" i="3" s="1"/>
  <c r="AR98" i="3"/>
  <c r="AF98" i="3" s="1"/>
  <c r="AT98" i="3"/>
  <c r="AK98" i="3" s="1"/>
  <c r="AT99" i="3"/>
  <c r="AK99" i="3" s="1"/>
  <c r="AR99" i="3"/>
  <c r="AU100" i="3" l="1"/>
  <c r="AU98" i="3"/>
  <c r="AU99" i="3"/>
  <c r="AF99" i="3"/>
  <c r="AZ46" i="3" l="1"/>
  <c r="AZ44" i="3"/>
  <c r="AZ43" i="3"/>
  <c r="AZ45" i="3"/>
  <c r="AY46" i="3"/>
  <c r="AY45" i="3"/>
  <c r="AY44" i="3"/>
  <c r="AY43" i="3"/>
  <c r="AX46" i="3"/>
  <c r="AX45" i="3"/>
  <c r="AX44" i="3"/>
  <c r="AX43" i="3"/>
  <c r="AV46" i="3"/>
  <c r="AV45" i="3"/>
  <c r="AV44" i="3"/>
  <c r="AV43" i="3"/>
  <c r="AZ97" i="3" l="1"/>
  <c r="AY97" i="3"/>
  <c r="AX97" i="3"/>
  <c r="AV97" i="3"/>
  <c r="AW97" i="3" s="1"/>
  <c r="AS97" i="3"/>
  <c r="AH97" i="3" s="1"/>
  <c r="AQ97" i="3"/>
  <c r="AP97" i="3"/>
  <c r="AN97" i="3"/>
  <c r="AO97" i="3" s="1"/>
  <c r="AL97" i="3"/>
  <c r="AM97" i="3" s="1"/>
  <c r="AZ96" i="3"/>
  <c r="AY96" i="3"/>
  <c r="AX96" i="3"/>
  <c r="AV96" i="3"/>
  <c r="AW96" i="3" s="1"/>
  <c r="AS96" i="3"/>
  <c r="AH96" i="3" s="1"/>
  <c r="AQ96" i="3"/>
  <c r="AP96" i="3"/>
  <c r="AN96" i="3"/>
  <c r="AO96" i="3" s="1"/>
  <c r="AL96" i="3"/>
  <c r="AM96" i="3" s="1"/>
  <c r="AZ95" i="3"/>
  <c r="AY95" i="3"/>
  <c r="AX95" i="3"/>
  <c r="AV95" i="3"/>
  <c r="AW95" i="3" s="1"/>
  <c r="AS95" i="3"/>
  <c r="AH95" i="3" s="1"/>
  <c r="AQ95" i="3"/>
  <c r="AP95" i="3"/>
  <c r="AN95" i="3"/>
  <c r="AO95" i="3" s="1"/>
  <c r="AL95" i="3"/>
  <c r="AM95" i="3" s="1"/>
  <c r="AZ94" i="3"/>
  <c r="AY94" i="3"/>
  <c r="AX94" i="3"/>
  <c r="AV94" i="3"/>
  <c r="AW94" i="3" s="1"/>
  <c r="AS94" i="3"/>
  <c r="AH94" i="3" s="1"/>
  <c r="AQ94" i="3"/>
  <c r="AP94" i="3"/>
  <c r="AN94" i="3"/>
  <c r="AO94" i="3" s="1"/>
  <c r="AL94" i="3"/>
  <c r="AM94" i="3" s="1"/>
  <c r="AT97" i="3" l="1"/>
  <c r="AK97" i="3" s="1"/>
  <c r="AT94" i="3"/>
  <c r="AK94" i="3" s="1"/>
  <c r="AR96" i="3"/>
  <c r="AF96" i="3" s="1"/>
  <c r="AT95" i="3"/>
  <c r="AK95" i="3" s="1"/>
  <c r="AT96" i="3"/>
  <c r="AK96" i="3" s="1"/>
  <c r="AR97" i="3"/>
  <c r="AR95" i="3"/>
  <c r="AR94" i="3"/>
  <c r="AU97" i="3" l="1"/>
  <c r="AF97" i="3"/>
  <c r="AU95" i="3"/>
  <c r="AF95" i="3"/>
  <c r="AU96" i="3"/>
  <c r="AU94" i="3"/>
  <c r="AF94" i="3"/>
  <c r="AZ93" i="3" l="1"/>
  <c r="AY93" i="3"/>
  <c r="AX93" i="3"/>
  <c r="AV93" i="3"/>
  <c r="AW93" i="3" s="1"/>
  <c r="AS93" i="3"/>
  <c r="AH93" i="3" s="1"/>
  <c r="AQ93" i="3"/>
  <c r="AP93" i="3"/>
  <c r="AN93" i="3"/>
  <c r="AO93" i="3" s="1"/>
  <c r="AL93" i="3"/>
  <c r="AM93" i="3" s="1"/>
  <c r="AZ92" i="3"/>
  <c r="AY92" i="3"/>
  <c r="AX92" i="3"/>
  <c r="AV92" i="3"/>
  <c r="AW92" i="3" s="1"/>
  <c r="AS92" i="3"/>
  <c r="AH92" i="3" s="1"/>
  <c r="AQ92" i="3"/>
  <c r="AP92" i="3"/>
  <c r="AN92" i="3"/>
  <c r="AO92" i="3" s="1"/>
  <c r="AL92" i="3"/>
  <c r="AM92" i="3" s="1"/>
  <c r="AZ91" i="3"/>
  <c r="AY91" i="3"/>
  <c r="AX91" i="3"/>
  <c r="AV91" i="3"/>
  <c r="AW91" i="3" s="1"/>
  <c r="AS91" i="3"/>
  <c r="AH91" i="3" s="1"/>
  <c r="AQ91" i="3"/>
  <c r="AP91" i="3"/>
  <c r="AN91" i="3"/>
  <c r="AO91" i="3" s="1"/>
  <c r="AL91" i="3"/>
  <c r="AM91" i="3" s="1"/>
  <c r="AZ90" i="3"/>
  <c r="AY90" i="3"/>
  <c r="AX90" i="3"/>
  <c r="AV90" i="3"/>
  <c r="AW90" i="3" s="1"/>
  <c r="AS90" i="3"/>
  <c r="AH90" i="3" s="1"/>
  <c r="AQ90" i="3"/>
  <c r="AP90" i="3"/>
  <c r="AN90" i="3"/>
  <c r="AO90" i="3" s="1"/>
  <c r="AL90" i="3"/>
  <c r="AM90" i="3" s="1"/>
  <c r="AZ89" i="3"/>
  <c r="AY89" i="3"/>
  <c r="AX89" i="3"/>
  <c r="AV89" i="3"/>
  <c r="AW89" i="3" s="1"/>
  <c r="AS89" i="3"/>
  <c r="AH89" i="3" s="1"/>
  <c r="AQ89" i="3"/>
  <c r="AP89" i="3"/>
  <c r="AN89" i="3"/>
  <c r="AO89" i="3" s="1"/>
  <c r="AL89" i="3"/>
  <c r="AM89" i="3" s="1"/>
  <c r="AZ88" i="3"/>
  <c r="AY88" i="3"/>
  <c r="AX88" i="3"/>
  <c r="AV88" i="3"/>
  <c r="AW88" i="3" s="1"/>
  <c r="AS88" i="3"/>
  <c r="AH88" i="3" s="1"/>
  <c r="AQ88" i="3"/>
  <c r="AP88" i="3"/>
  <c r="AN88" i="3"/>
  <c r="AO88" i="3" s="1"/>
  <c r="AL88" i="3"/>
  <c r="AM88" i="3" s="1"/>
  <c r="AZ87" i="3"/>
  <c r="AY87" i="3"/>
  <c r="AX87" i="3"/>
  <c r="AV87" i="3"/>
  <c r="AW87" i="3" s="1"/>
  <c r="AS87" i="3"/>
  <c r="AH87" i="3" s="1"/>
  <c r="AQ87" i="3"/>
  <c r="AP87" i="3"/>
  <c r="AN87" i="3"/>
  <c r="AO87" i="3" s="1"/>
  <c r="AL87" i="3"/>
  <c r="AM87" i="3" s="1"/>
  <c r="AZ86" i="3"/>
  <c r="AY86" i="3"/>
  <c r="AX86" i="3"/>
  <c r="AV86" i="3"/>
  <c r="AW86" i="3" s="1"/>
  <c r="AS86" i="3"/>
  <c r="AH86" i="3" s="1"/>
  <c r="AQ86" i="3"/>
  <c r="AP86" i="3"/>
  <c r="AN86" i="3"/>
  <c r="AO86" i="3" s="1"/>
  <c r="AL86" i="3"/>
  <c r="AM86" i="3" s="1"/>
  <c r="AZ85" i="3"/>
  <c r="AY85" i="3"/>
  <c r="AX85" i="3"/>
  <c r="AV85" i="3"/>
  <c r="AW85" i="3" s="1"/>
  <c r="AS85" i="3"/>
  <c r="AH85" i="3" s="1"/>
  <c r="AQ85" i="3"/>
  <c r="AP85" i="3"/>
  <c r="AN85" i="3"/>
  <c r="AO85" i="3" s="1"/>
  <c r="AL85" i="3"/>
  <c r="AM85" i="3" s="1"/>
  <c r="AZ84" i="3"/>
  <c r="AY84" i="3"/>
  <c r="AX84" i="3"/>
  <c r="AV84" i="3"/>
  <c r="AW84" i="3" s="1"/>
  <c r="AS84" i="3"/>
  <c r="AH84" i="3" s="1"/>
  <c r="AQ84" i="3"/>
  <c r="AP84" i="3"/>
  <c r="AN84" i="3"/>
  <c r="AO84" i="3" s="1"/>
  <c r="AL84" i="3"/>
  <c r="AM84" i="3" s="1"/>
  <c r="AZ83" i="3"/>
  <c r="AY83" i="3"/>
  <c r="AX83" i="3"/>
  <c r="AV83" i="3"/>
  <c r="AW83" i="3" s="1"/>
  <c r="AS83" i="3"/>
  <c r="AH83" i="3" s="1"/>
  <c r="AQ83" i="3"/>
  <c r="AP83" i="3"/>
  <c r="AN83" i="3"/>
  <c r="AO83" i="3" s="1"/>
  <c r="AL83" i="3"/>
  <c r="AM83" i="3" s="1"/>
  <c r="AZ82" i="3"/>
  <c r="AY82" i="3"/>
  <c r="AX82" i="3"/>
  <c r="AV82" i="3"/>
  <c r="AW82" i="3" s="1"/>
  <c r="AS82" i="3"/>
  <c r="AH82" i="3" s="1"/>
  <c r="AQ82" i="3"/>
  <c r="AP82" i="3"/>
  <c r="AN82" i="3"/>
  <c r="AO82" i="3" s="1"/>
  <c r="AL82" i="3"/>
  <c r="AM82" i="3" s="1"/>
  <c r="AZ81" i="3"/>
  <c r="AY81" i="3"/>
  <c r="AX81" i="3"/>
  <c r="AV81" i="3"/>
  <c r="AW81" i="3" s="1"/>
  <c r="AS81" i="3"/>
  <c r="AH81" i="3" s="1"/>
  <c r="AQ81" i="3"/>
  <c r="AP81" i="3"/>
  <c r="AN81" i="3"/>
  <c r="AO81" i="3" s="1"/>
  <c r="AL81" i="3"/>
  <c r="AM81" i="3" s="1"/>
  <c r="AZ80" i="3"/>
  <c r="AY80" i="3"/>
  <c r="AX80" i="3"/>
  <c r="AV80" i="3"/>
  <c r="AW80" i="3" s="1"/>
  <c r="AS80" i="3"/>
  <c r="AH80" i="3" s="1"/>
  <c r="AQ80" i="3"/>
  <c r="AP80" i="3"/>
  <c r="AN80" i="3"/>
  <c r="AO80" i="3" s="1"/>
  <c r="AL80" i="3"/>
  <c r="AM80" i="3" s="1"/>
  <c r="AZ79" i="3"/>
  <c r="AY79" i="3"/>
  <c r="AX79" i="3"/>
  <c r="AV79" i="3"/>
  <c r="AW79" i="3" s="1"/>
  <c r="AS79" i="3"/>
  <c r="AH79" i="3" s="1"/>
  <c r="AQ79" i="3"/>
  <c r="AP79" i="3"/>
  <c r="AN79" i="3"/>
  <c r="AO79" i="3" s="1"/>
  <c r="AL79" i="3"/>
  <c r="AM79" i="3" s="1"/>
  <c r="AZ78" i="3"/>
  <c r="AY78" i="3"/>
  <c r="AX78" i="3"/>
  <c r="AV78" i="3"/>
  <c r="AW78" i="3" s="1"/>
  <c r="AS78" i="3"/>
  <c r="AH78" i="3" s="1"/>
  <c r="AQ78" i="3"/>
  <c r="AP78" i="3"/>
  <c r="AN78" i="3"/>
  <c r="AO78" i="3" s="1"/>
  <c r="AL78" i="3"/>
  <c r="AM78" i="3" s="1"/>
  <c r="AZ77" i="3"/>
  <c r="AY77" i="3"/>
  <c r="AX77" i="3"/>
  <c r="AV77" i="3"/>
  <c r="AW77" i="3" s="1"/>
  <c r="AS77" i="3"/>
  <c r="AH77" i="3" s="1"/>
  <c r="AQ77" i="3"/>
  <c r="AP77" i="3"/>
  <c r="AN77" i="3"/>
  <c r="AO77" i="3" s="1"/>
  <c r="AL77" i="3"/>
  <c r="AM77" i="3" s="1"/>
  <c r="AZ76" i="3"/>
  <c r="AY76" i="3"/>
  <c r="AX76" i="3"/>
  <c r="AV76" i="3"/>
  <c r="AW76" i="3" s="1"/>
  <c r="AS76" i="3"/>
  <c r="AH76" i="3" s="1"/>
  <c r="AQ76" i="3"/>
  <c r="AP76" i="3"/>
  <c r="AN76" i="3"/>
  <c r="AO76" i="3" s="1"/>
  <c r="AL76" i="3"/>
  <c r="AM76" i="3" s="1"/>
  <c r="AZ75" i="3"/>
  <c r="AY75" i="3"/>
  <c r="AX75" i="3"/>
  <c r="AV75" i="3"/>
  <c r="AW75" i="3" s="1"/>
  <c r="AS75" i="3"/>
  <c r="AH75" i="3" s="1"/>
  <c r="AQ75" i="3"/>
  <c r="AP75" i="3"/>
  <c r="AN75" i="3"/>
  <c r="AO75" i="3" s="1"/>
  <c r="AL75" i="3"/>
  <c r="AM75" i="3" s="1"/>
  <c r="AT93" i="3" l="1"/>
  <c r="AK93" i="3" s="1"/>
  <c r="AT88" i="3"/>
  <c r="AK88" i="3" s="1"/>
  <c r="AT85" i="3"/>
  <c r="AK85" i="3" s="1"/>
  <c r="AT77" i="3"/>
  <c r="AK77" i="3" s="1"/>
  <c r="AR79" i="3"/>
  <c r="AF79" i="3" s="1"/>
  <c r="AT80" i="3"/>
  <c r="AK80" i="3" s="1"/>
  <c r="AT89" i="3"/>
  <c r="AK89" i="3" s="1"/>
  <c r="AR75" i="3"/>
  <c r="AF75" i="3" s="1"/>
  <c r="AT76" i="3"/>
  <c r="AK76" i="3" s="1"/>
  <c r="AT81" i="3"/>
  <c r="AK81" i="3" s="1"/>
  <c r="AR83" i="3"/>
  <c r="AF83" i="3" s="1"/>
  <c r="AT84" i="3"/>
  <c r="AK84" i="3" s="1"/>
  <c r="AT87" i="3"/>
  <c r="AK87" i="3" s="1"/>
  <c r="AR90" i="3"/>
  <c r="AT92" i="3"/>
  <c r="AK92" i="3" s="1"/>
  <c r="AR85" i="3"/>
  <c r="AF85" i="3" s="1"/>
  <c r="AR89" i="3"/>
  <c r="AR93" i="3"/>
  <c r="AR76" i="3"/>
  <c r="AR80" i="3"/>
  <c r="AF80" i="3" s="1"/>
  <c r="AR84" i="3"/>
  <c r="AR88" i="3"/>
  <c r="AU88" i="3" s="1"/>
  <c r="AR86" i="3"/>
  <c r="AT86" i="3"/>
  <c r="AK86" i="3" s="1"/>
  <c r="AR87" i="3"/>
  <c r="AF87" i="3" s="1"/>
  <c r="AT75" i="3"/>
  <c r="AK75" i="3" s="1"/>
  <c r="AT78" i="3"/>
  <c r="AK78" i="3" s="1"/>
  <c r="AT79" i="3"/>
  <c r="AK79" i="3" s="1"/>
  <c r="AT82" i="3"/>
  <c r="AK82" i="3" s="1"/>
  <c r="AT83" i="3"/>
  <c r="AK83" i="3" s="1"/>
  <c r="AT91" i="3"/>
  <c r="AK91" i="3" s="1"/>
  <c r="AR78" i="3"/>
  <c r="AR82" i="3"/>
  <c r="AU82" i="3" s="1"/>
  <c r="AT90" i="3"/>
  <c r="AK90" i="3" s="1"/>
  <c r="AR91" i="3"/>
  <c r="AU91" i="3" s="1"/>
  <c r="AR92" i="3"/>
  <c r="AR77" i="3"/>
  <c r="AR81" i="3"/>
  <c r="AU93" i="3" l="1"/>
  <c r="AF88" i="3"/>
  <c r="AU85" i="3"/>
  <c r="AU79" i="3"/>
  <c r="AU84" i="3"/>
  <c r="AU75" i="3"/>
  <c r="AF84" i="3"/>
  <c r="AU87" i="3"/>
  <c r="AU90" i="3"/>
  <c r="AF82" i="3"/>
  <c r="AU86" i="3"/>
  <c r="AU76" i="3"/>
  <c r="AU83" i="3"/>
  <c r="AU92" i="3"/>
  <c r="AU80" i="3"/>
  <c r="AU89" i="3"/>
  <c r="AF76" i="3"/>
  <c r="AF86" i="3"/>
  <c r="AU78" i="3"/>
  <c r="AF78" i="3"/>
  <c r="AU81" i="3"/>
  <c r="AF81" i="3"/>
  <c r="AU77" i="3"/>
  <c r="AF77" i="3"/>
  <c r="AZ74" i="3" l="1"/>
  <c r="AY74" i="3"/>
  <c r="AX74" i="3"/>
  <c r="AV74" i="3"/>
  <c r="AW74" i="3" s="1"/>
  <c r="AS74" i="3"/>
  <c r="AH74" i="3" s="1"/>
  <c r="AQ74" i="3"/>
  <c r="AP74" i="3"/>
  <c r="AN74" i="3"/>
  <c r="AO74" i="3" s="1"/>
  <c r="AL74" i="3"/>
  <c r="AM74" i="3" s="1"/>
  <c r="AZ73" i="3"/>
  <c r="AY73" i="3"/>
  <c r="AX73" i="3"/>
  <c r="AV73" i="3"/>
  <c r="AW73" i="3" s="1"/>
  <c r="AS73" i="3"/>
  <c r="AH73" i="3" s="1"/>
  <c r="AQ73" i="3"/>
  <c r="AP73" i="3"/>
  <c r="AN73" i="3"/>
  <c r="AO73" i="3" s="1"/>
  <c r="AL73" i="3"/>
  <c r="AM73" i="3" s="1"/>
  <c r="AZ72" i="3"/>
  <c r="AY72" i="3"/>
  <c r="AX72" i="3"/>
  <c r="AV72" i="3"/>
  <c r="AW72" i="3" s="1"/>
  <c r="AS72" i="3"/>
  <c r="AH72" i="3" s="1"/>
  <c r="AQ72" i="3"/>
  <c r="AP72" i="3"/>
  <c r="AN72" i="3"/>
  <c r="AO72" i="3" s="1"/>
  <c r="AL72" i="3"/>
  <c r="AM72" i="3" s="1"/>
  <c r="AZ71" i="3"/>
  <c r="AY71" i="3"/>
  <c r="AX71" i="3"/>
  <c r="AV71" i="3"/>
  <c r="AW71" i="3" s="1"/>
  <c r="AS71" i="3"/>
  <c r="AH71" i="3" s="1"/>
  <c r="AQ71" i="3"/>
  <c r="AP71" i="3"/>
  <c r="AN71" i="3"/>
  <c r="AO71" i="3" s="1"/>
  <c r="AL71" i="3"/>
  <c r="AM71" i="3" s="1"/>
  <c r="AZ70" i="3"/>
  <c r="AY70" i="3"/>
  <c r="AX70" i="3"/>
  <c r="AV70" i="3"/>
  <c r="AW70" i="3" s="1"/>
  <c r="AS70" i="3"/>
  <c r="AH70" i="3" s="1"/>
  <c r="AQ70" i="3"/>
  <c r="AP70" i="3"/>
  <c r="AN70" i="3"/>
  <c r="AO70" i="3" s="1"/>
  <c r="AL70" i="3"/>
  <c r="AM70" i="3" s="1"/>
  <c r="AZ69" i="3"/>
  <c r="AY69" i="3"/>
  <c r="AX69" i="3"/>
  <c r="AV69" i="3"/>
  <c r="AW69" i="3" s="1"/>
  <c r="AS69" i="3"/>
  <c r="AH69" i="3" s="1"/>
  <c r="AQ69" i="3"/>
  <c r="AP69" i="3"/>
  <c r="AN69" i="3"/>
  <c r="AO69" i="3" s="1"/>
  <c r="AL69" i="3"/>
  <c r="AM69" i="3" s="1"/>
  <c r="AZ68" i="3"/>
  <c r="AY68" i="3"/>
  <c r="AX68" i="3"/>
  <c r="AV68" i="3"/>
  <c r="AW68" i="3" s="1"/>
  <c r="AS68" i="3"/>
  <c r="AH68" i="3" s="1"/>
  <c r="AQ68" i="3"/>
  <c r="AP68" i="3"/>
  <c r="AN68" i="3"/>
  <c r="AO68" i="3" s="1"/>
  <c r="AL68" i="3"/>
  <c r="AM68" i="3" s="1"/>
  <c r="AT68" i="3" l="1"/>
  <c r="AK68" i="3" s="1"/>
  <c r="AT72" i="3"/>
  <c r="AK72" i="3" s="1"/>
  <c r="AT69" i="3"/>
  <c r="AK69" i="3" s="1"/>
  <c r="AR71" i="3"/>
  <c r="AF71" i="3" s="1"/>
  <c r="AT70" i="3"/>
  <c r="AK70" i="3" s="1"/>
  <c r="AT71" i="3"/>
  <c r="AK71" i="3" s="1"/>
  <c r="AT73" i="3"/>
  <c r="AK73" i="3" s="1"/>
  <c r="AR72" i="3"/>
  <c r="AR70" i="3"/>
  <c r="AT74" i="3"/>
  <c r="AK74" i="3" s="1"/>
  <c r="AR74" i="3"/>
  <c r="AR68" i="3"/>
  <c r="AR69" i="3"/>
  <c r="AR73" i="3"/>
  <c r="AU74" i="3" l="1"/>
  <c r="AU70" i="3"/>
  <c r="AU71" i="3"/>
  <c r="AU72" i="3"/>
  <c r="AU68" i="3"/>
  <c r="AF68" i="3"/>
  <c r="AF72" i="3"/>
  <c r="AF70" i="3"/>
  <c r="AF74" i="3"/>
  <c r="AF73" i="3"/>
  <c r="AU73" i="3"/>
  <c r="AU69" i="3"/>
  <c r="AF69" i="3"/>
  <c r="AZ67" i="3" l="1"/>
  <c r="AY67" i="3"/>
  <c r="AX67" i="3"/>
  <c r="AV67" i="3"/>
  <c r="AW67" i="3" s="1"/>
  <c r="AS67" i="3"/>
  <c r="AH67" i="3" s="1"/>
  <c r="AQ67" i="3"/>
  <c r="AP67" i="3"/>
  <c r="AN67" i="3"/>
  <c r="AO67" i="3" s="1"/>
  <c r="AL67" i="3"/>
  <c r="AM67" i="3" s="1"/>
  <c r="AZ66" i="3"/>
  <c r="AY66" i="3"/>
  <c r="AX66" i="3"/>
  <c r="AV66" i="3"/>
  <c r="AW66" i="3" s="1"/>
  <c r="AS66" i="3"/>
  <c r="AH66" i="3" s="1"/>
  <c r="AQ66" i="3"/>
  <c r="AP66" i="3"/>
  <c r="AN66" i="3"/>
  <c r="AO66" i="3" s="1"/>
  <c r="AL66" i="3"/>
  <c r="AM66" i="3" s="1"/>
  <c r="AR66" i="3" l="1"/>
  <c r="AF66" i="3" s="1"/>
  <c r="AT67" i="3"/>
  <c r="AK67" i="3" s="1"/>
  <c r="AT66" i="3"/>
  <c r="AK66" i="3" s="1"/>
  <c r="AR67" i="3"/>
  <c r="AF67" i="3" s="1"/>
  <c r="AU66" i="3" l="1"/>
  <c r="AU67" i="3"/>
  <c r="AZ64" i="3"/>
  <c r="AY64" i="3"/>
  <c r="AX64" i="3"/>
  <c r="AV64" i="3"/>
  <c r="AW64" i="3" s="1"/>
  <c r="AS64" i="3"/>
  <c r="AH64" i="3" s="1"/>
  <c r="AQ64" i="3"/>
  <c r="AP64" i="3"/>
  <c r="AN64" i="3"/>
  <c r="AO64" i="3" s="1"/>
  <c r="AL64" i="3"/>
  <c r="AM64" i="3" s="1"/>
  <c r="AZ63" i="3"/>
  <c r="AY63" i="3"/>
  <c r="AX63" i="3"/>
  <c r="AV63" i="3"/>
  <c r="AW63" i="3" s="1"/>
  <c r="AS63" i="3"/>
  <c r="AH63" i="3" s="1"/>
  <c r="AQ63" i="3"/>
  <c r="AP63" i="3"/>
  <c r="AN63" i="3"/>
  <c r="AO63" i="3" s="1"/>
  <c r="AL63" i="3"/>
  <c r="AM63" i="3" s="1"/>
  <c r="AZ62" i="3"/>
  <c r="AY62" i="3"/>
  <c r="AX62" i="3"/>
  <c r="AV62" i="3"/>
  <c r="AW62" i="3" s="1"/>
  <c r="AS62" i="3"/>
  <c r="AH62" i="3" s="1"/>
  <c r="AQ62" i="3"/>
  <c r="AP62" i="3"/>
  <c r="AN62" i="3"/>
  <c r="AO62" i="3" s="1"/>
  <c r="AL62" i="3"/>
  <c r="AM62" i="3" s="1"/>
  <c r="AZ61" i="3"/>
  <c r="AY61" i="3"/>
  <c r="AX61" i="3"/>
  <c r="AV61" i="3"/>
  <c r="AW61" i="3" s="1"/>
  <c r="AS61" i="3"/>
  <c r="AH61" i="3" s="1"/>
  <c r="AQ61" i="3"/>
  <c r="AP61" i="3"/>
  <c r="AN61" i="3"/>
  <c r="AO61" i="3" s="1"/>
  <c r="AL61" i="3"/>
  <c r="AM61" i="3" s="1"/>
  <c r="AZ60" i="3"/>
  <c r="AY60" i="3"/>
  <c r="AX60" i="3"/>
  <c r="AV60" i="3"/>
  <c r="AW60" i="3" s="1"/>
  <c r="AS60" i="3"/>
  <c r="AH60" i="3" s="1"/>
  <c r="AQ60" i="3"/>
  <c r="AP60" i="3"/>
  <c r="AN60" i="3"/>
  <c r="AO60" i="3" s="1"/>
  <c r="AL60" i="3"/>
  <c r="AM60" i="3" s="1"/>
  <c r="AZ59" i="3"/>
  <c r="AY59" i="3"/>
  <c r="AX59" i="3"/>
  <c r="AV59" i="3"/>
  <c r="AW59" i="3" s="1"/>
  <c r="AS59" i="3"/>
  <c r="AH59" i="3" s="1"/>
  <c r="AQ59" i="3"/>
  <c r="AP59" i="3"/>
  <c r="AN59" i="3"/>
  <c r="AO59" i="3" s="1"/>
  <c r="AL59" i="3"/>
  <c r="AM59" i="3" s="1"/>
  <c r="AZ58" i="3"/>
  <c r="AY58" i="3"/>
  <c r="AX58" i="3"/>
  <c r="AV58" i="3"/>
  <c r="AW58" i="3" s="1"/>
  <c r="AS58" i="3"/>
  <c r="AH58" i="3" s="1"/>
  <c r="AQ58" i="3"/>
  <c r="AP58" i="3"/>
  <c r="AN58" i="3"/>
  <c r="AO58" i="3" s="1"/>
  <c r="AL58" i="3"/>
  <c r="AM58" i="3" s="1"/>
  <c r="AZ57" i="3"/>
  <c r="AY57" i="3"/>
  <c r="AX57" i="3"/>
  <c r="AV57" i="3"/>
  <c r="AW57" i="3" s="1"/>
  <c r="AS57" i="3"/>
  <c r="AH57" i="3" s="1"/>
  <c r="AQ57" i="3"/>
  <c r="AP57" i="3"/>
  <c r="AN57" i="3"/>
  <c r="AO57" i="3" s="1"/>
  <c r="AL57" i="3"/>
  <c r="AM57" i="3" s="1"/>
  <c r="AT58" i="3" l="1"/>
  <c r="AK58" i="3" s="1"/>
  <c r="AT62" i="3"/>
  <c r="AK62" i="3" s="1"/>
  <c r="AT64" i="3"/>
  <c r="AK64" i="3" s="1"/>
  <c r="AT60" i="3"/>
  <c r="AK60" i="3" s="1"/>
  <c r="AR57" i="3"/>
  <c r="AF57" i="3" s="1"/>
  <c r="AR59" i="3"/>
  <c r="AR63" i="3"/>
  <c r="AF63" i="3" s="1"/>
  <c r="AR58" i="3"/>
  <c r="AF58" i="3" s="1"/>
  <c r="AR60" i="3"/>
  <c r="AF60" i="3" s="1"/>
  <c r="AR62" i="3"/>
  <c r="AF62" i="3" s="1"/>
  <c r="AR64" i="3"/>
  <c r="AF64" i="3" s="1"/>
  <c r="AR61" i="3"/>
  <c r="AT57" i="3"/>
  <c r="AK57" i="3" s="1"/>
  <c r="AT59" i="3"/>
  <c r="AK59" i="3" s="1"/>
  <c r="AT61" i="3"/>
  <c r="AK61" i="3" s="1"/>
  <c r="AT63" i="3"/>
  <c r="AK63" i="3" s="1"/>
  <c r="AU60" i="3" l="1"/>
  <c r="AU62" i="3"/>
  <c r="AU59" i="3"/>
  <c r="AF59" i="3"/>
  <c r="AU64" i="3"/>
  <c r="AU61" i="3"/>
  <c r="AU57" i="3"/>
  <c r="AU58" i="3"/>
  <c r="AF61" i="3"/>
  <c r="AU63" i="3"/>
  <c r="AF10" i="3"/>
  <c r="AF11" i="3"/>
  <c r="AF12" i="3"/>
  <c r="AF13" i="3"/>
  <c r="AZ56" i="3"/>
  <c r="AY56" i="3"/>
  <c r="AX56" i="3"/>
  <c r="AV56" i="3"/>
  <c r="AW56" i="3" s="1"/>
  <c r="AS56" i="3"/>
  <c r="AQ56" i="3"/>
  <c r="AP56" i="3"/>
  <c r="AN56" i="3"/>
  <c r="AO56" i="3" s="1"/>
  <c r="AL56" i="3"/>
  <c r="AM56" i="3" s="1"/>
  <c r="AZ55" i="3"/>
  <c r="AY55" i="3"/>
  <c r="AX55" i="3"/>
  <c r="AV55" i="3"/>
  <c r="AW55" i="3" s="1"/>
  <c r="AS55" i="3"/>
  <c r="AQ55" i="3"/>
  <c r="AP55" i="3"/>
  <c r="AN55" i="3"/>
  <c r="AO55" i="3" s="1"/>
  <c r="AL55" i="3"/>
  <c r="AM55" i="3" s="1"/>
  <c r="AZ54" i="3"/>
  <c r="AY54" i="3"/>
  <c r="AX54" i="3"/>
  <c r="AV54" i="3"/>
  <c r="AW54" i="3" s="1"/>
  <c r="AS54" i="3"/>
  <c r="AQ54" i="3"/>
  <c r="AP54" i="3"/>
  <c r="AN54" i="3"/>
  <c r="AO54" i="3" s="1"/>
  <c r="AL54" i="3"/>
  <c r="AM54" i="3" s="1"/>
  <c r="AZ53" i="3"/>
  <c r="AY53" i="3"/>
  <c r="AX53" i="3"/>
  <c r="AV53" i="3"/>
  <c r="AW53" i="3" s="1"/>
  <c r="AS53" i="3"/>
  <c r="AQ53" i="3"/>
  <c r="AP53" i="3"/>
  <c r="AN53" i="3"/>
  <c r="AO53" i="3" s="1"/>
  <c r="AL53" i="3"/>
  <c r="AM53" i="3" s="1"/>
  <c r="AZ52" i="3"/>
  <c r="AY52" i="3"/>
  <c r="AX52" i="3"/>
  <c r="AV52" i="3"/>
  <c r="AW52" i="3" s="1"/>
  <c r="AS52" i="3"/>
  <c r="AH56" i="3" s="1"/>
  <c r="AQ52" i="3"/>
  <c r="AP52" i="3"/>
  <c r="AN52" i="3"/>
  <c r="AO52" i="3" s="1"/>
  <c r="AL52" i="3"/>
  <c r="AM52" i="3" s="1"/>
  <c r="AH52" i="3" l="1"/>
  <c r="AT54" i="3"/>
  <c r="AK54" i="3" s="1"/>
  <c r="AR53" i="3"/>
  <c r="AF53" i="3" s="1"/>
  <c r="AT55" i="3"/>
  <c r="AK55" i="3" s="1"/>
  <c r="AR56" i="3"/>
  <c r="AT52" i="3"/>
  <c r="AK52" i="3" s="1"/>
  <c r="AH54" i="3"/>
  <c r="AT53" i="3"/>
  <c r="AK53" i="3" s="1"/>
  <c r="AR52" i="3"/>
  <c r="AR55" i="3"/>
  <c r="AF55" i="3" s="1"/>
  <c r="AT56" i="3"/>
  <c r="AK56" i="3" s="1"/>
  <c r="AR54" i="3"/>
  <c r="AH53" i="3"/>
  <c r="AH55" i="3"/>
  <c r="AU55" i="3" l="1"/>
  <c r="AU52" i="3"/>
  <c r="AU53" i="3"/>
  <c r="AF52" i="3"/>
  <c r="AU56" i="3"/>
  <c r="AU54" i="3"/>
  <c r="AF54" i="3"/>
  <c r="AZ51" i="3" l="1"/>
  <c r="AY51" i="3"/>
  <c r="AX51" i="3"/>
  <c r="AV51" i="3"/>
  <c r="AW51" i="3" s="1"/>
  <c r="AS51" i="3"/>
  <c r="AH51" i="3" s="1"/>
  <c r="AQ51" i="3"/>
  <c r="AP51" i="3"/>
  <c r="AN51" i="3"/>
  <c r="AO51" i="3" s="1"/>
  <c r="AL51" i="3"/>
  <c r="AM51" i="3" s="1"/>
  <c r="AZ50" i="3"/>
  <c r="AY50" i="3"/>
  <c r="AX50" i="3"/>
  <c r="AV50" i="3"/>
  <c r="AW50" i="3" s="1"/>
  <c r="AS50" i="3"/>
  <c r="AH50" i="3" s="1"/>
  <c r="AQ50" i="3"/>
  <c r="AP50" i="3"/>
  <c r="AN50" i="3"/>
  <c r="AO50" i="3" s="1"/>
  <c r="AL50" i="3"/>
  <c r="AM50" i="3" s="1"/>
  <c r="AZ49" i="3"/>
  <c r="AY49" i="3"/>
  <c r="AX49" i="3"/>
  <c r="AV49" i="3"/>
  <c r="AW49" i="3" s="1"/>
  <c r="AS49" i="3"/>
  <c r="AH49" i="3" s="1"/>
  <c r="AQ49" i="3"/>
  <c r="AP49" i="3"/>
  <c r="AN49" i="3"/>
  <c r="AO49" i="3" s="1"/>
  <c r="AL49" i="3"/>
  <c r="AM49" i="3" s="1"/>
  <c r="AZ48" i="3"/>
  <c r="AY48" i="3"/>
  <c r="AX48" i="3"/>
  <c r="AV48" i="3"/>
  <c r="AW48" i="3" s="1"/>
  <c r="AS48" i="3"/>
  <c r="AH48" i="3" s="1"/>
  <c r="AQ48" i="3"/>
  <c r="AP48" i="3"/>
  <c r="AN48" i="3"/>
  <c r="AO48" i="3" s="1"/>
  <c r="AL48" i="3"/>
  <c r="AM48" i="3" s="1"/>
  <c r="AZ47" i="3"/>
  <c r="AY47" i="3"/>
  <c r="AX47" i="3"/>
  <c r="AV47" i="3"/>
  <c r="AW47" i="3" s="1"/>
  <c r="AS47" i="3"/>
  <c r="AH47" i="3" s="1"/>
  <c r="AQ47" i="3"/>
  <c r="AP47" i="3"/>
  <c r="AN47" i="3"/>
  <c r="AO47" i="3" s="1"/>
  <c r="AL47" i="3"/>
  <c r="AM47" i="3" s="1"/>
  <c r="AR48" i="3" l="1"/>
  <c r="AF48" i="3" s="1"/>
  <c r="AT50" i="3"/>
  <c r="AK50" i="3" s="1"/>
  <c r="AR50" i="3"/>
  <c r="AF50" i="3" s="1"/>
  <c r="AR47" i="3"/>
  <c r="AF47" i="3" s="1"/>
  <c r="AT47" i="3"/>
  <c r="AK47" i="3" s="1"/>
  <c r="AT48" i="3"/>
  <c r="AK48" i="3" s="1"/>
  <c r="AT51" i="3"/>
  <c r="AK51" i="3" s="1"/>
  <c r="AR51" i="3"/>
  <c r="AF51" i="3" s="1"/>
  <c r="AT49" i="3"/>
  <c r="AK49" i="3" s="1"/>
  <c r="AR49" i="3"/>
  <c r="AF49" i="3" s="1"/>
  <c r="AU47" i="3" l="1"/>
  <c r="AU49" i="3"/>
  <c r="AU50" i="3"/>
  <c r="AU51" i="3"/>
  <c r="AU48" i="3"/>
  <c r="AS46" i="3"/>
  <c r="AH46" i="3" s="1"/>
  <c r="AQ46" i="3"/>
  <c r="AP46" i="3"/>
  <c r="AN46" i="3"/>
  <c r="AO46" i="3" s="1"/>
  <c r="AL46" i="3"/>
  <c r="AM46" i="3" s="1"/>
  <c r="AS45" i="3"/>
  <c r="AH45" i="3" s="1"/>
  <c r="AQ45" i="3"/>
  <c r="AP45" i="3"/>
  <c r="AN45" i="3"/>
  <c r="AO45" i="3" s="1"/>
  <c r="AL45" i="3"/>
  <c r="AM45" i="3" s="1"/>
  <c r="AS44" i="3"/>
  <c r="AH44" i="3" s="1"/>
  <c r="AQ44" i="3"/>
  <c r="AP44" i="3"/>
  <c r="AN44" i="3"/>
  <c r="AO44" i="3" s="1"/>
  <c r="AL44" i="3"/>
  <c r="AM44" i="3" s="1"/>
  <c r="AS43" i="3"/>
  <c r="AH43" i="3" s="1"/>
  <c r="AQ43" i="3"/>
  <c r="AP43" i="3"/>
  <c r="AN43" i="3"/>
  <c r="AO43" i="3" s="1"/>
  <c r="AL43" i="3"/>
  <c r="AM43" i="3" s="1"/>
  <c r="AZ42" i="3"/>
  <c r="AY42" i="3"/>
  <c r="AX42" i="3"/>
  <c r="AV42" i="3"/>
  <c r="AW42" i="3" s="1"/>
  <c r="AS42" i="3"/>
  <c r="AH42" i="3" s="1"/>
  <c r="AQ42" i="3"/>
  <c r="AP42" i="3"/>
  <c r="AN42" i="3"/>
  <c r="AO42" i="3" s="1"/>
  <c r="AL42" i="3"/>
  <c r="AM42" i="3" s="1"/>
  <c r="AV41" i="3"/>
  <c r="AW41" i="3" s="1"/>
  <c r="AS41" i="3"/>
  <c r="AH41" i="3" s="1"/>
  <c r="AQ41" i="3"/>
  <c r="AP41" i="3"/>
  <c r="AN41" i="3"/>
  <c r="AO41" i="3" s="1"/>
  <c r="AL41" i="3"/>
  <c r="AM41" i="3" s="1"/>
  <c r="AK46" i="3"/>
  <c r="AR45" i="3" l="1"/>
  <c r="AF45" i="3" s="1"/>
  <c r="AT46" i="3"/>
  <c r="AR41" i="3"/>
  <c r="AF41" i="3" s="1"/>
  <c r="AR42" i="3"/>
  <c r="AT42" i="3"/>
  <c r="AR43" i="3"/>
  <c r="AT45" i="3"/>
  <c r="AT44" i="3"/>
  <c r="AR44" i="3"/>
  <c r="AR46" i="3"/>
  <c r="AF46" i="3" s="1"/>
  <c r="AT41" i="3"/>
  <c r="AK41" i="3" s="1"/>
  <c r="AT43" i="3"/>
  <c r="AW43" i="3"/>
  <c r="AW45" i="3"/>
  <c r="AW44" i="3"/>
  <c r="AW46" i="3"/>
  <c r="AU46" i="3" l="1"/>
  <c r="AF43" i="3"/>
  <c r="AU43" i="3"/>
  <c r="AF44" i="3"/>
  <c r="AU44" i="3"/>
  <c r="AU45" i="3"/>
  <c r="AU41" i="3"/>
  <c r="AU42" i="3"/>
  <c r="AZ40" i="3"/>
  <c r="AY40" i="3"/>
  <c r="AX40" i="3"/>
  <c r="AV40" i="3"/>
  <c r="AW40" i="3" s="1"/>
  <c r="AS40" i="3"/>
  <c r="AH40" i="3" s="1"/>
  <c r="AQ40" i="3"/>
  <c r="AP40" i="3"/>
  <c r="AN40" i="3"/>
  <c r="AO40" i="3" s="1"/>
  <c r="AL40" i="3"/>
  <c r="AM40" i="3" s="1"/>
  <c r="AZ39" i="3"/>
  <c r="AY39" i="3"/>
  <c r="AX39" i="3"/>
  <c r="AV39" i="3"/>
  <c r="AW39" i="3" s="1"/>
  <c r="AS39" i="3"/>
  <c r="AH39" i="3" s="1"/>
  <c r="AQ39" i="3"/>
  <c r="AP39" i="3"/>
  <c r="AN39" i="3"/>
  <c r="AO39" i="3" s="1"/>
  <c r="AL39" i="3"/>
  <c r="AM39" i="3" s="1"/>
  <c r="AV38" i="3"/>
  <c r="AW38" i="3" s="1"/>
  <c r="AS38" i="3"/>
  <c r="AH38" i="3" s="1"/>
  <c r="AQ38" i="3"/>
  <c r="AP38" i="3"/>
  <c r="AN38" i="3"/>
  <c r="AO38" i="3" s="1"/>
  <c r="AL38" i="3"/>
  <c r="AM38" i="3" s="1"/>
  <c r="AV37" i="3"/>
  <c r="AW37" i="3" s="1"/>
  <c r="AS37" i="3"/>
  <c r="AH37" i="3" s="1"/>
  <c r="AQ37" i="3"/>
  <c r="AP37" i="3"/>
  <c r="AN37" i="3"/>
  <c r="AO37" i="3" s="1"/>
  <c r="AL37" i="3"/>
  <c r="AM37" i="3" s="1"/>
  <c r="AV36" i="3"/>
  <c r="AW36" i="3" s="1"/>
  <c r="AS36" i="3"/>
  <c r="AH36" i="3" s="1"/>
  <c r="AQ36" i="3"/>
  <c r="AP36" i="3"/>
  <c r="AN36" i="3"/>
  <c r="AO36" i="3" s="1"/>
  <c r="AL36" i="3"/>
  <c r="AM36" i="3" s="1"/>
  <c r="AZ35" i="3"/>
  <c r="AY35" i="3"/>
  <c r="AX35" i="3"/>
  <c r="AV35" i="3"/>
  <c r="AW35" i="3" s="1"/>
  <c r="AS35" i="3"/>
  <c r="AH35" i="3" s="1"/>
  <c r="AQ35" i="3"/>
  <c r="AP35" i="3"/>
  <c r="AN35" i="3"/>
  <c r="AO35" i="3" s="1"/>
  <c r="AL35" i="3"/>
  <c r="AM35" i="3" s="1"/>
  <c r="AV34" i="3"/>
  <c r="AW34" i="3" s="1"/>
  <c r="AS34" i="3"/>
  <c r="AH34" i="3" s="1"/>
  <c r="AQ34" i="3"/>
  <c r="AP34" i="3"/>
  <c r="AN34" i="3"/>
  <c r="AO34" i="3" s="1"/>
  <c r="AL34" i="3"/>
  <c r="AM34" i="3" s="1"/>
  <c r="AT34" i="3" l="1"/>
  <c r="AK34" i="3" s="1"/>
  <c r="AR35" i="3"/>
  <c r="AR36" i="3"/>
  <c r="AT37" i="3"/>
  <c r="AR38" i="3"/>
  <c r="AT39" i="3"/>
  <c r="AR34" i="3"/>
  <c r="AF34" i="3" s="1"/>
  <c r="AT35" i="3"/>
  <c r="AT40" i="3"/>
  <c r="AT36" i="3"/>
  <c r="AR37" i="3"/>
  <c r="AT38" i="3"/>
  <c r="AR39" i="3"/>
  <c r="AR40" i="3"/>
  <c r="AU39" i="3" l="1"/>
  <c r="AU36" i="3"/>
  <c r="AU35" i="3"/>
  <c r="AU40" i="3"/>
  <c r="AU34" i="3"/>
  <c r="AU38" i="3"/>
  <c r="AU37" i="3"/>
  <c r="AZ33" i="3"/>
  <c r="AY33" i="3"/>
  <c r="AX33" i="3"/>
  <c r="AV33" i="3"/>
  <c r="AW33" i="3" s="1"/>
  <c r="AS33" i="3"/>
  <c r="AH33" i="3" s="1"/>
  <c r="AQ33" i="3"/>
  <c r="AP33" i="3"/>
  <c r="AN33" i="3"/>
  <c r="AO33" i="3" s="1"/>
  <c r="AL33" i="3"/>
  <c r="AM33" i="3" s="1"/>
  <c r="AZ32" i="3"/>
  <c r="AY32" i="3"/>
  <c r="AX32" i="3"/>
  <c r="AV32" i="3"/>
  <c r="AW32" i="3" s="1"/>
  <c r="AS32" i="3"/>
  <c r="AH32" i="3" s="1"/>
  <c r="AQ32" i="3"/>
  <c r="AP32" i="3"/>
  <c r="AN32" i="3"/>
  <c r="AO32" i="3" s="1"/>
  <c r="AL32" i="3"/>
  <c r="AM32" i="3" s="1"/>
  <c r="AZ31" i="3"/>
  <c r="AY31" i="3"/>
  <c r="AX31" i="3"/>
  <c r="AV31" i="3"/>
  <c r="AW31" i="3" s="1"/>
  <c r="AS31" i="3"/>
  <c r="AH31" i="3" s="1"/>
  <c r="AQ31" i="3"/>
  <c r="AP31" i="3"/>
  <c r="AN31" i="3"/>
  <c r="AO31" i="3" s="1"/>
  <c r="AL31" i="3"/>
  <c r="AM31" i="3" s="1"/>
  <c r="AZ30" i="3"/>
  <c r="AY30" i="3"/>
  <c r="AX30" i="3"/>
  <c r="AV30" i="3"/>
  <c r="AW30" i="3" s="1"/>
  <c r="AS30" i="3"/>
  <c r="AH30" i="3" s="1"/>
  <c r="AQ30" i="3"/>
  <c r="AP30" i="3"/>
  <c r="AN30" i="3"/>
  <c r="AO30" i="3" s="1"/>
  <c r="AL30" i="3"/>
  <c r="AM30" i="3" s="1"/>
  <c r="AZ29" i="3"/>
  <c r="AY29" i="3"/>
  <c r="AX29" i="3"/>
  <c r="AV29" i="3"/>
  <c r="AW29" i="3" s="1"/>
  <c r="AS29" i="3"/>
  <c r="AH29" i="3" s="1"/>
  <c r="AQ29" i="3"/>
  <c r="AP29" i="3"/>
  <c r="AN29" i="3"/>
  <c r="AO29" i="3" s="1"/>
  <c r="AL29" i="3"/>
  <c r="AM29" i="3" s="1"/>
  <c r="AZ28" i="3"/>
  <c r="AY28" i="3"/>
  <c r="AX28" i="3"/>
  <c r="AV28" i="3"/>
  <c r="AW28" i="3" s="1"/>
  <c r="AS28" i="3"/>
  <c r="AH28" i="3" s="1"/>
  <c r="AQ28" i="3"/>
  <c r="AP28" i="3"/>
  <c r="AN28" i="3"/>
  <c r="AO28" i="3" s="1"/>
  <c r="AL28" i="3"/>
  <c r="AM28" i="3" s="1"/>
  <c r="AZ27" i="3"/>
  <c r="AY27" i="3"/>
  <c r="AX27" i="3"/>
  <c r="AV27" i="3"/>
  <c r="AW27" i="3" s="1"/>
  <c r="AS27" i="3"/>
  <c r="AH27" i="3" s="1"/>
  <c r="AQ27" i="3"/>
  <c r="AP27" i="3"/>
  <c r="AN27" i="3"/>
  <c r="AO27" i="3" s="1"/>
  <c r="AL27" i="3"/>
  <c r="AM27" i="3" s="1"/>
  <c r="AZ26" i="3"/>
  <c r="AY26" i="3"/>
  <c r="AX26" i="3"/>
  <c r="AV26" i="3"/>
  <c r="AW26" i="3" s="1"/>
  <c r="AS26" i="3"/>
  <c r="AH26" i="3" s="1"/>
  <c r="AQ26" i="3"/>
  <c r="AP26" i="3"/>
  <c r="AN26" i="3"/>
  <c r="AO26" i="3" s="1"/>
  <c r="AL26" i="3"/>
  <c r="AM26" i="3" s="1"/>
  <c r="AT32" i="3" l="1"/>
  <c r="AK32" i="3" s="1"/>
  <c r="AR26" i="3"/>
  <c r="AF26" i="3" s="1"/>
  <c r="AT28" i="3"/>
  <c r="AK28" i="3" s="1"/>
  <c r="AR30" i="3"/>
  <c r="AT27" i="3"/>
  <c r="AK27" i="3" s="1"/>
  <c r="AT31" i="3"/>
  <c r="AK31" i="3" s="1"/>
  <c r="AR27" i="3"/>
  <c r="AF27" i="3" s="1"/>
  <c r="AR28" i="3"/>
  <c r="AF28" i="3" s="1"/>
  <c r="AR31" i="3"/>
  <c r="AR32" i="3"/>
  <c r="AU12" i="3" s="1"/>
  <c r="AT26" i="3"/>
  <c r="AK26" i="3" s="1"/>
  <c r="AT29" i="3"/>
  <c r="AK29" i="3" s="1"/>
  <c r="AT30" i="3"/>
  <c r="AK30" i="3" s="1"/>
  <c r="AT33" i="3"/>
  <c r="AK33" i="3" s="1"/>
  <c r="AR29" i="3"/>
  <c r="AF29" i="3" s="1"/>
  <c r="AR33" i="3"/>
  <c r="AF33" i="3" s="1"/>
  <c r="AF30" i="3" l="1"/>
  <c r="AU10" i="3"/>
  <c r="AF32" i="3"/>
  <c r="AF31" i="3"/>
  <c r="AU11" i="3"/>
  <c r="AU28" i="3"/>
  <c r="AU26" i="3"/>
  <c r="AU32" i="3"/>
  <c r="AU31" i="3"/>
  <c r="AU29" i="3"/>
  <c r="AU27" i="3"/>
  <c r="AU30" i="3"/>
  <c r="AU33" i="3"/>
  <c r="AZ25" i="3"/>
  <c r="AY25" i="3"/>
  <c r="AX25" i="3"/>
  <c r="AV25" i="3"/>
  <c r="AW25" i="3" s="1"/>
  <c r="AS25" i="3"/>
  <c r="AH25" i="3" s="1"/>
  <c r="AQ25" i="3"/>
  <c r="AP25" i="3"/>
  <c r="AN25" i="3"/>
  <c r="AO25" i="3" s="1"/>
  <c r="AL25" i="3"/>
  <c r="AM25" i="3" s="1"/>
  <c r="AZ24" i="3"/>
  <c r="AY24" i="3"/>
  <c r="AX24" i="3"/>
  <c r="AV24" i="3"/>
  <c r="AW24" i="3" s="1"/>
  <c r="AS24" i="3"/>
  <c r="AH24" i="3" s="1"/>
  <c r="AQ24" i="3"/>
  <c r="AP24" i="3"/>
  <c r="AN24" i="3"/>
  <c r="AO24" i="3" s="1"/>
  <c r="AL24" i="3"/>
  <c r="AM24" i="3" s="1"/>
  <c r="AZ23" i="3"/>
  <c r="AY23" i="3"/>
  <c r="AX23" i="3"/>
  <c r="AV23" i="3"/>
  <c r="AW23" i="3" s="1"/>
  <c r="AS23" i="3"/>
  <c r="AH23" i="3" s="1"/>
  <c r="AQ23" i="3"/>
  <c r="AP23" i="3"/>
  <c r="AN23" i="3"/>
  <c r="AO23" i="3" s="1"/>
  <c r="AL23" i="3"/>
  <c r="AM23" i="3" s="1"/>
  <c r="AZ22" i="3"/>
  <c r="AY22" i="3"/>
  <c r="AX22" i="3"/>
  <c r="AV22" i="3"/>
  <c r="AW22" i="3" s="1"/>
  <c r="AS22" i="3"/>
  <c r="AH22" i="3" s="1"/>
  <c r="AQ22" i="3"/>
  <c r="AP22" i="3"/>
  <c r="AN22" i="3"/>
  <c r="AO22" i="3" s="1"/>
  <c r="AL22" i="3"/>
  <c r="AM22" i="3" s="1"/>
  <c r="AT24" i="3" l="1"/>
  <c r="AT22" i="3"/>
  <c r="AK22" i="3" s="1"/>
  <c r="AT23" i="3"/>
  <c r="AT25" i="3"/>
  <c r="AR24" i="3"/>
  <c r="AR25" i="3"/>
  <c r="AR22" i="3"/>
  <c r="AR23" i="3"/>
  <c r="AU23" i="3" l="1"/>
  <c r="AU24" i="3"/>
  <c r="AU25" i="3"/>
  <c r="AU22" i="3"/>
  <c r="AF22" i="3"/>
  <c r="AZ21" i="3"/>
  <c r="AY21" i="3"/>
  <c r="AX21" i="3"/>
  <c r="AV21" i="3"/>
  <c r="AW21" i="3" s="1"/>
  <c r="AS21" i="3"/>
  <c r="AH21" i="3" s="1"/>
  <c r="AQ21" i="3"/>
  <c r="AP21" i="3"/>
  <c r="AN21" i="3"/>
  <c r="AO21" i="3" s="1"/>
  <c r="AL21" i="3"/>
  <c r="AM21" i="3" s="1"/>
  <c r="AZ20" i="3"/>
  <c r="AY20" i="3"/>
  <c r="AX20" i="3"/>
  <c r="AV20" i="3"/>
  <c r="AW20" i="3" s="1"/>
  <c r="AS20" i="3"/>
  <c r="AH20" i="3" s="1"/>
  <c r="AQ20" i="3"/>
  <c r="AP20" i="3"/>
  <c r="AN20" i="3"/>
  <c r="AO20" i="3" s="1"/>
  <c r="AL20" i="3"/>
  <c r="AM20" i="3" s="1"/>
  <c r="AZ19" i="3"/>
  <c r="AY19" i="3"/>
  <c r="AX19" i="3"/>
  <c r="AV19" i="3"/>
  <c r="AW19" i="3" s="1"/>
  <c r="AS19" i="3"/>
  <c r="AH19" i="3" s="1"/>
  <c r="AQ19" i="3"/>
  <c r="AP19" i="3"/>
  <c r="AN19" i="3"/>
  <c r="AO19" i="3" s="1"/>
  <c r="AL19" i="3"/>
  <c r="AM19" i="3" s="1"/>
  <c r="AZ18" i="3"/>
  <c r="AY18" i="3"/>
  <c r="AX18" i="3"/>
  <c r="AV18" i="3"/>
  <c r="AW18" i="3" s="1"/>
  <c r="AS18" i="3"/>
  <c r="AH18" i="3" s="1"/>
  <c r="AQ18" i="3"/>
  <c r="AP18" i="3"/>
  <c r="AN18" i="3"/>
  <c r="AO18" i="3" s="1"/>
  <c r="AL18" i="3"/>
  <c r="AM18" i="3" s="1"/>
  <c r="AZ17" i="3"/>
  <c r="AY17" i="3"/>
  <c r="AX17" i="3"/>
  <c r="AV17" i="3"/>
  <c r="AW17" i="3" s="1"/>
  <c r="AS17" i="3"/>
  <c r="AQ17" i="3"/>
  <c r="AP17" i="3"/>
  <c r="AN17" i="3"/>
  <c r="AO17" i="3" s="1"/>
  <c r="AL17" i="3"/>
  <c r="AM17" i="3" s="1"/>
  <c r="AZ16" i="3"/>
  <c r="AY16" i="3"/>
  <c r="AX16" i="3"/>
  <c r="AV16" i="3"/>
  <c r="AW16" i="3" s="1"/>
  <c r="AS16" i="3"/>
  <c r="AH16" i="3" s="1"/>
  <c r="AQ16" i="3"/>
  <c r="AP16" i="3"/>
  <c r="AN16" i="3"/>
  <c r="AO16" i="3" s="1"/>
  <c r="AL16" i="3"/>
  <c r="AM16" i="3" s="1"/>
  <c r="AZ15" i="3"/>
  <c r="AY15" i="3"/>
  <c r="AX15" i="3"/>
  <c r="AV15" i="3"/>
  <c r="AW15" i="3" s="1"/>
  <c r="AS15" i="3"/>
  <c r="AH15" i="3" s="1"/>
  <c r="AQ15" i="3"/>
  <c r="AP15" i="3"/>
  <c r="AN15" i="3"/>
  <c r="AO15" i="3" s="1"/>
  <c r="AL15" i="3"/>
  <c r="AM15" i="3" s="1"/>
  <c r="AZ14" i="3"/>
  <c r="AY14" i="3"/>
  <c r="AV14" i="3"/>
  <c r="AW14" i="3" s="1"/>
  <c r="AS14" i="3"/>
  <c r="AH14" i="3" s="1"/>
  <c r="AQ14" i="3"/>
  <c r="AP14" i="3"/>
  <c r="AN14" i="3"/>
  <c r="AO14" i="3" s="1"/>
  <c r="AL14" i="3"/>
  <c r="AM14" i="3" s="1"/>
  <c r="AH17" i="3" l="1"/>
  <c r="AH12" i="3"/>
  <c r="AR18" i="3"/>
  <c r="AT20" i="3"/>
  <c r="AK20" i="3" s="1"/>
  <c r="AT21" i="3"/>
  <c r="AK21" i="3" s="1"/>
  <c r="AR14" i="3"/>
  <c r="AF14" i="3" s="1"/>
  <c r="AT19" i="3"/>
  <c r="AK19" i="3" s="1"/>
  <c r="AR15" i="3"/>
  <c r="AR19" i="3"/>
  <c r="AT15" i="3"/>
  <c r="AK15" i="3" s="1"/>
  <c r="AT17" i="3"/>
  <c r="AK17" i="3" s="1"/>
  <c r="AR20" i="3"/>
  <c r="AU20" i="3" s="1"/>
  <c r="AT16" i="3"/>
  <c r="AK16" i="3" s="1"/>
  <c r="AR16" i="3"/>
  <c r="AT14" i="3"/>
  <c r="AK14" i="3" s="1"/>
  <c r="AT18" i="3"/>
  <c r="AK18" i="3" s="1"/>
  <c r="AR17" i="3"/>
  <c r="AR21" i="3"/>
  <c r="AU21" i="3" l="1"/>
  <c r="AU17" i="3"/>
  <c r="AU19" i="3"/>
  <c r="AU16" i="3"/>
  <c r="AU15" i="3"/>
  <c r="AU18" i="3"/>
  <c r="AU14" i="3"/>
  <c r="AW13" i="3"/>
  <c r="AW12" i="3"/>
  <c r="AW11" i="3"/>
  <c r="AW10" i="3"/>
  <c r="F15" i="5" l="1"/>
  <c r="F8" i="5"/>
  <c r="F41" i="5" l="1"/>
  <c r="F40" i="5"/>
</calcChain>
</file>

<file path=xl/sharedStrings.xml><?xml version="1.0" encoding="utf-8"?>
<sst xmlns="http://schemas.openxmlformats.org/spreadsheetml/2006/main" count="4873" uniqueCount="857">
  <si>
    <t>TIPO DE ORIGEN</t>
  </si>
  <si>
    <t>ID</t>
  </si>
  <si>
    <t xml:space="preserve">Proceso que identifica el activo </t>
  </si>
  <si>
    <t>Nombre del activo</t>
  </si>
  <si>
    <t>Descripción del activo</t>
  </si>
  <si>
    <t>Tipo</t>
  </si>
  <si>
    <t>Custodio</t>
  </si>
  <si>
    <t>Medio de conservación</t>
  </si>
  <si>
    <t>Idioma</t>
  </si>
  <si>
    <t>Ubicación física</t>
  </si>
  <si>
    <t>Ubicación digital</t>
  </si>
  <si>
    <t>Interno</t>
  </si>
  <si>
    <t>Externo</t>
  </si>
  <si>
    <t>Serie</t>
  </si>
  <si>
    <t>Subserie</t>
  </si>
  <si>
    <t>Contiene datos personales?</t>
  </si>
  <si>
    <t>Sensible</t>
  </si>
  <si>
    <t>Privado</t>
  </si>
  <si>
    <t>Semiprivado</t>
  </si>
  <si>
    <t>Público</t>
  </si>
  <si>
    <t>Niños, niñas y adolescentes</t>
  </si>
  <si>
    <t>Finalidad de la recolección de los datos personales</t>
  </si>
  <si>
    <t>Cuenta con las autorizaciones para el tratamiento de datos personales</t>
  </si>
  <si>
    <t>Fecha de retiro</t>
  </si>
  <si>
    <t xml:space="preserve">Fundamento constitucional o legal </t>
  </si>
  <si>
    <t>Fundamento jurídico de la excepción</t>
  </si>
  <si>
    <t>Excepción total o parcial</t>
  </si>
  <si>
    <t xml:space="preserve">Fecha de la calificación </t>
  </si>
  <si>
    <t xml:space="preserve">Plazo de la clasificación o reserva </t>
  </si>
  <si>
    <t>Propietario de la información</t>
  </si>
  <si>
    <t>CLASIFICACIÓN DOCUMENTAL (categoría de la información)</t>
  </si>
  <si>
    <t>Dependencia</t>
  </si>
  <si>
    <t>TIPO DE ACTIVO</t>
  </si>
  <si>
    <t>PROPIEDAD</t>
  </si>
  <si>
    <t>IDENTIFICACIÓN GENERAL DEL ACTIVO</t>
  </si>
  <si>
    <t>MEDIO DE CONSERVACIÓN Y UBICACIÓN</t>
  </si>
  <si>
    <t>NIVEL DE CLASIFICACIÓN</t>
  </si>
  <si>
    <t xml:space="preserve">Frecuencia de generación </t>
  </si>
  <si>
    <t>Formato(s) usado(s) para almacenar la información</t>
  </si>
  <si>
    <t>Nivel de Criticidad</t>
  </si>
  <si>
    <t>Etiquetado</t>
  </si>
  <si>
    <t>CLASIFICACIÓN DE DATOS PERSONALES</t>
  </si>
  <si>
    <t>Objetivo Legítimo de la Excepción</t>
  </si>
  <si>
    <t xml:space="preserve">CLASIFICACIÓN DE LOS ACTIVOS DE INFORMACIÓN (Conforme a la Ley 1712 de 2014) </t>
  </si>
  <si>
    <t>Información Publicada /  Disponible</t>
  </si>
  <si>
    <t>Tipo de Proceso</t>
  </si>
  <si>
    <t>Clasificación de la información</t>
  </si>
  <si>
    <t>Nombre del responsable de la identificación de activos del proceso o dependencia</t>
  </si>
  <si>
    <t>Nombre del responsable del proceso que aprueba los activos</t>
  </si>
  <si>
    <t>Proceso</t>
  </si>
  <si>
    <t>DEPENDENCIAS</t>
  </si>
  <si>
    <t>Tipo Proceso</t>
  </si>
  <si>
    <t>Procesos</t>
  </si>
  <si>
    <t>GERENCIA</t>
  </si>
  <si>
    <t>UNIDAD ADMINISTRATIVA</t>
  </si>
  <si>
    <t>ESTRATEGICOS</t>
  </si>
  <si>
    <t>DIRECCIONAMIENTO ESTRATÉGICO</t>
  </si>
  <si>
    <t>DESPACHO_SECRETARIA</t>
  </si>
  <si>
    <t>DESPACHO SECRETARIA</t>
  </si>
  <si>
    <t>MISIONALES</t>
  </si>
  <si>
    <t>SUBSECRETARÍA_DE_GOBERNANZA</t>
  </si>
  <si>
    <t>OFICINA DE CONTROL INTERNO</t>
  </si>
  <si>
    <t>APOYO</t>
  </si>
  <si>
    <t>SUBSECRETARÍA DISTRITAL DE CULTURA CIUDADANA Y  GESTION DEL CONOCIMIENTO</t>
  </si>
  <si>
    <t>OFICINA DE CONTROL INTERNO DISCIPLINARIO</t>
  </si>
  <si>
    <t>EVALUACION</t>
  </si>
  <si>
    <t>DIRECCION DE ARTE CULTURA Y PATRIMONIO</t>
  </si>
  <si>
    <t>OFICINA ASESORA JURÍDICA</t>
  </si>
  <si>
    <t>OFICINA ASESORA DE COMUNICACIONES</t>
  </si>
  <si>
    <t>DIRECCION DE GESTIÓN CORPORATIVA</t>
  </si>
  <si>
    <t>OFICINA ASESORA DE PLANEACIÓN</t>
  </si>
  <si>
    <t>OFICINA DE TECNOLOGIAS DE LA INFORMACIÓN</t>
  </si>
  <si>
    <t>DIRECCION DE FOMENTO</t>
  </si>
  <si>
    <t>DIRECCION DE ASUNTOS LOCALES Y PARTICIPACIÓN</t>
  </si>
  <si>
    <t>GESTIÓN JURÍDICA</t>
  </si>
  <si>
    <t>DIRECCIÓN DE ECONOMIA ESTUDIOS Y POLITICA</t>
  </si>
  <si>
    <t>DIRECCIÓN DE PERSONAS JURIDICAS</t>
  </si>
  <si>
    <t>SDIRECCIÓN DE OBSERVATORIO Y GESTION DEL CONOCIMIENTO CULTURAL</t>
  </si>
  <si>
    <t>SUBDIRECCIÓN DE GESTIÓN CULTURAL Y ARTISTICA</t>
  </si>
  <si>
    <t>SUBDIRECCIÓN DE INFRAESTRUCTURA  Y PATRIMONIO CULTURAL</t>
  </si>
  <si>
    <t>GRUPO INTERNO DE TRABAJO DE GESTIÓN DEL TALENTO HUMANOS</t>
  </si>
  <si>
    <t>GRUPO INTERNO DE TRABAJO DE GESTIÓN DE FINANCIERA</t>
  </si>
  <si>
    <t>GRUPO INTERNO DE TRABAJO DE GESTIÓN SERVICIOS ADMINISTRATIVOS</t>
  </si>
  <si>
    <t>CONFIDENCIALIDAD DOCUMENTAL</t>
  </si>
  <si>
    <t>¿ EL ACTIVO ALMACENA O PROCESA INFORMACIÓN…</t>
  </si>
  <si>
    <t>PUNTAJE</t>
  </si>
  <si>
    <t>OBJETIVO LEGÍTIMO DE LA EXCEPCIÓN</t>
  </si>
  <si>
    <t>CLASIFICACIÓN DE LA INFORMACIÓN</t>
  </si>
  <si>
    <t>FUNDAMENTO CONSTITUCIONAL O LEGAL</t>
  </si>
  <si>
    <t>1) INFORMACIÓN PÚBLICA</t>
  </si>
  <si>
    <t>BAJO</t>
  </si>
  <si>
    <t>INFORMACIÓN PÚBLICA</t>
  </si>
  <si>
    <t>ALTO</t>
  </si>
  <si>
    <t>INFORMACIÓN PÚBLICA CLASIFICADA</t>
  </si>
  <si>
    <t>INFORMACIÓN PÚBLICA RESERVADA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</si>
  <si>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</si>
  <si>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INTEGRIDAD</t>
  </si>
  <si>
    <t>PREGUNTA</t>
  </si>
  <si>
    <t>Valoración</t>
  </si>
  <si>
    <t>Se produce impacto por el compromiso de la integridad del activo de información a nivel:</t>
  </si>
  <si>
    <t>1) INSIGNIFICANTE</t>
  </si>
  <si>
    <t>2) MENOR</t>
  </si>
  <si>
    <t>3) MODERADO</t>
  </si>
  <si>
    <t>MEDIO</t>
  </si>
  <si>
    <t>4) MAYOR</t>
  </si>
  <si>
    <t>5) CATASTRÓFICO</t>
  </si>
  <si>
    <t>DISPONIBILIDAD</t>
  </si>
  <si>
    <t>La pérdida de disponibilidad:</t>
  </si>
  <si>
    <t>Menor que 2</t>
  </si>
  <si>
    <t>1) NO APLICA / NO ES RELEVANTE</t>
  </si>
  <si>
    <t>Mayor a 2 y menor que 3,0</t>
  </si>
  <si>
    <t>2) ES CRÍTICO PARA LAS OPERACIONES INTERNAS</t>
  </si>
  <si>
    <t>Mayor a 3,0</t>
  </si>
  <si>
    <t>3) PODRÍA AFECTAR LA TOMA DE DECISIONES</t>
  </si>
  <si>
    <t>4) ES CRÍTICO PARA EL SERVICIO HACIA TERCEROS</t>
  </si>
  <si>
    <t>5) PUEDE GENERAR INCUMPLIMIENTOS LEGALES Y REGLAMENTARIOS</t>
  </si>
  <si>
    <t>El tiempo máximo de recuperación aceptable es:</t>
  </si>
  <si>
    <t>1) 4 HORAS</t>
  </si>
  <si>
    <t>2) 8 HORAS</t>
  </si>
  <si>
    <t>3) 24 HORAS</t>
  </si>
  <si>
    <t>4) 48 HORAS</t>
  </si>
  <si>
    <t>5) 7 DÍAS</t>
  </si>
  <si>
    <t>6) 14 DÍAS</t>
  </si>
  <si>
    <t>7) 30 DÍAS</t>
  </si>
  <si>
    <t>8) &gt;30 DÍAS</t>
  </si>
  <si>
    <t xml:space="preserve">¿Que impacto se produce por la pérdida de la integridad de este activo de información? </t>
  </si>
  <si>
    <t>¿El activo almacena información relacionada con?</t>
  </si>
  <si>
    <t>¿La pérdida de disponibilidad cómo afecta el activo de información?</t>
  </si>
  <si>
    <t>¿El tiempo máximo de indisponibilidad del activo de información es?</t>
  </si>
  <si>
    <t>CONFIDENCIALIDAD</t>
  </si>
  <si>
    <t>1) PÚBLICO EN GENERAL</t>
  </si>
  <si>
    <t>PÚBLICA</t>
  </si>
  <si>
    <t>2) INTERNO DE LA ENTIDAD</t>
  </si>
  <si>
    <t>GENERAL (uso interno)</t>
  </si>
  <si>
    <t>3) PROCESOS</t>
  </si>
  <si>
    <t>CLASIFICADA</t>
  </si>
  <si>
    <t>4) ALTA DIRECCIÓN</t>
  </si>
  <si>
    <t>RESERVADA</t>
  </si>
  <si>
    <t>DESCRIPCIÓN</t>
  </si>
  <si>
    <t>HARDWARE</t>
  </si>
  <si>
    <t>SOFTWARE</t>
  </si>
  <si>
    <t>SERVICIOS</t>
  </si>
  <si>
    <t>FRECUENCIA DE ACTUALIZACIÓN</t>
  </si>
  <si>
    <t>EN LINEA</t>
  </si>
  <si>
    <t>DIARIO</t>
  </si>
  <si>
    <t>QUINCENAL</t>
  </si>
  <si>
    <t>MENSUAL</t>
  </si>
  <si>
    <t>BIMENSUAL</t>
  </si>
  <si>
    <t>TRIMESTRAL</t>
  </si>
  <si>
    <t>SEMESTRAL</t>
  </si>
  <si>
    <t>ANUAL</t>
  </si>
  <si>
    <t>POR DEMANDA</t>
  </si>
  <si>
    <t>DIRECCION_DE_ARTE_CULTURA_Y_PATRIMONIO</t>
  </si>
  <si>
    <t>DIRECCION_DE_LECTURAS_Y_BIBLIOTECAS</t>
  </si>
  <si>
    <t>DIRECCION_DE_GESTION_CORPORATIVA</t>
  </si>
  <si>
    <t>DIRECCION DE LECTURAS Y BIBLIOTECAS</t>
  </si>
  <si>
    <t>SEGUIMIENTO Y EVALUACION DE LA GESTION</t>
  </si>
  <si>
    <t>GESTIÓN OPERATIVA DE TI</t>
  </si>
  <si>
    <t>GESTIÓN FINANCIERA</t>
  </si>
  <si>
    <t>GESTIÓN DE TALENTO HUMANO</t>
  </si>
  <si>
    <t>RELACIÓN CON LA CIUDADANÍA</t>
  </si>
  <si>
    <t>GESTIÓN ADMINISTRATIVA</t>
  </si>
  <si>
    <t>GESTIÓN DOCUMENTAL</t>
  </si>
  <si>
    <t>FORMULACIÓN Y SEGUIMIENTO DE POLÍTICAS PÚBLICAS</t>
  </si>
  <si>
    <t>PROMOCIÓN DE AGENTES Y PRÁCTICAS CULTURALES Y RECREODEPORTIVAS</t>
  </si>
  <si>
    <t>GESTIÓN DEL CONOCIMIENTO</t>
  </si>
  <si>
    <t>PARTICIPACIÓN CIUDADANA</t>
  </si>
  <si>
    <t>APROPIACIÓN DE LA INFRAESTUCTURA Y PATRIMONIO CULTURAL</t>
  </si>
  <si>
    <t>COMUNICACIÓN ESTRATÉGICA</t>
  </si>
  <si>
    <t>GESTIÓN ESTRATÉGICA DE TI</t>
  </si>
  <si>
    <t>GRUPO INTERNO DE INFRAESTRUCTURA Y SISTEMAS DE INFORMACIÓN</t>
  </si>
  <si>
    <t>SUBSECRETARÍA_DISTRITAL_DE_CULTURA_CIUDADANA_Y_GESTION_DEL_CONOCIMIENTO</t>
  </si>
  <si>
    <t>OFICINA_DE_TECNOLOGIAS_DE_LA_INFORMACIÓN</t>
  </si>
  <si>
    <t>RECURSO HUMANO</t>
  </si>
  <si>
    <t>BASES DE DATOS PERSONALES</t>
  </si>
  <si>
    <t>Son DATOS o INFORMACIÓN identificados en los documentos de archivo, que se encuentran identificados y clasificados en la tabla de retención documental y sus actualizaciones o que se encuentran en diferentes tipos de documentos.</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</si>
  <si>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</si>
  <si>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</si>
  <si>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</si>
  <si>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</si>
  <si>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</si>
  <si>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¿Cómo determina el nivel de acceso en cuanto a la información que maneja el activo?</t>
  </si>
  <si>
    <t>Valoración Confidencialidad</t>
  </si>
  <si>
    <t>Valoración Integridad</t>
  </si>
  <si>
    <t>Valoración Disponibilidad</t>
  </si>
  <si>
    <t>VALORACIÓN DE CONFIDENCIALIDAD DOCUMENTOS</t>
  </si>
  <si>
    <t>NUMERO CONFIDENCIALIDAD INFORMACION</t>
  </si>
  <si>
    <t>VALORACIÓN DE CONFIDENCIALIDAD NIVEL DE ACCESO</t>
  </si>
  <si>
    <t>NUMERO CONFIDENCIALIDAD OTROS ACTIVOS</t>
  </si>
  <si>
    <t>VALORACIÓN # DE DISPONIBILIDAD</t>
  </si>
  <si>
    <t>DESCRIPTOR DE DISPONIBILIDAD</t>
  </si>
  <si>
    <t>VALORACIÓN DE CONFIDENCIALIDAD</t>
  </si>
  <si>
    <t>VALORACIÓN DE INTEGRIDAD</t>
  </si>
  <si>
    <t>VALORACION DE DISPONIBILIDAD</t>
  </si>
  <si>
    <t>FUNDAMENTO JURÍDICO DE LA EXCEPCIÓN</t>
  </si>
  <si>
    <t>N/A</t>
  </si>
  <si>
    <t>RESERVA TOTAL</t>
  </si>
  <si>
    <t>RESERVA PARCIAL</t>
  </si>
  <si>
    <t>SIN RESERVA</t>
  </si>
  <si>
    <t xml:space="preserve">INFRAESTRUCTURA CRÍTICA </t>
  </si>
  <si>
    <t>Plazo de la Calificación</t>
  </si>
  <si>
    <t>PERMANENTE</t>
  </si>
  <si>
    <t>GRUPO INTERNO DE TRABAJO DE GESTIÓN CONTRATACIÓN</t>
  </si>
  <si>
    <t>DEPENDENCIA</t>
  </si>
  <si>
    <t>CUATRIMESTRAL</t>
  </si>
  <si>
    <t>INFORMACIÓN</t>
  </si>
  <si>
    <t>2) DATOS PERSONALES</t>
  </si>
  <si>
    <t>3) AFECTACIÓN A LA VIDA, LA SALUD O LA SEGURIDAD DE UNA PERSONA</t>
  </si>
  <si>
    <t>4) SECRETOS COMERCIALES, INDUSTRIALES Y PROFESIONALES</t>
  </si>
  <si>
    <t>5) LA DEFENSA Y SEGURIDAD NACIONAL</t>
  </si>
  <si>
    <t>6) LA SEGURIDAD PÚBLICA</t>
  </si>
  <si>
    <t>7) LAS RELACIONES INTERNACIONALES</t>
  </si>
  <si>
    <t>8) LA PREVENCIÓN, INVESTIGACIÓN Y PERSECUCIÓN DE LOS DELITOS Y LAS FALTAS DISCIPLINARIAS</t>
  </si>
  <si>
    <t>9) EL DEBIDO PROCESO Y LA IGUALDAD DE LAS PARTES EN LOS PROCESOS JUDICIALES</t>
  </si>
  <si>
    <t>10) LA ADMINISTRACIÓN EFECTIVA DE LA JUSTICIA</t>
  </si>
  <si>
    <t>11) LOS DERECHOS DE LA INFANCIA Y LA ADOLESCENCIA</t>
  </si>
  <si>
    <t>12) LA ESTABILIDAD MACROECONÓMICA Y FINANCIERA DEL PAÍS</t>
  </si>
  <si>
    <t>13) LA SALUD PÚBLICA</t>
  </si>
  <si>
    <t>14) OPINIONES O PUNTOS DE VISTA QUE FORMAN PARTE DEL PROCESO DELIBERATIVO DE LOS SERVIDORES PÚBLICOS</t>
  </si>
  <si>
    <t>15) PROTECCIÓN POR UNA NORMA LEGAL O CONSTITUCIONAL DE UN TEMA DIFERENTE A LOS ENUNCIADOS ANTERIORMENTE</t>
  </si>
  <si>
    <t>1 AÑO</t>
  </si>
  <si>
    <t>2 AÑOS</t>
  </si>
  <si>
    <t>3 AÑOS</t>
  </si>
  <si>
    <t>4 AÑOS</t>
  </si>
  <si>
    <t>5 AÑOS</t>
  </si>
  <si>
    <t>6 AÑOS</t>
  </si>
  <si>
    <t>7 AÑOS</t>
  </si>
  <si>
    <t>8 AÑOS</t>
  </si>
  <si>
    <t>9 AÑOS</t>
  </si>
  <si>
    <t>10 AÑOS</t>
  </si>
  <si>
    <t>11 AÑOS</t>
  </si>
  <si>
    <t>12 AÑOS</t>
  </si>
  <si>
    <t>13 AÑOS</t>
  </si>
  <si>
    <t>14 AÑOS</t>
  </si>
  <si>
    <t>15 AÑOS</t>
  </si>
  <si>
    <t>80 AÑOS</t>
  </si>
  <si>
    <t xml:space="preserve">FECHA RETIRO DE ACTIVOS </t>
  </si>
  <si>
    <t>SUBDIRECCIÓN DE INFRAESTRUCTURA Y PATRIMONIO CULTURAL</t>
  </si>
  <si>
    <r>
      <rPr>
        <b/>
        <sz val="9"/>
        <color rgb="FF000000"/>
        <rFont val="Arial Narrow"/>
        <family val="2"/>
      </rPr>
      <t>LEY 1712 DE 2014 LEY DE TRANSPARENCIA Y DERECHO DE ACCESO A LA INFORMACIÓN.</t>
    </r>
    <r>
      <rPr>
        <sz val="9"/>
        <color rgb="FF000000"/>
        <rFont val="Arial Narrow"/>
        <family val="2"/>
      </rPr>
      <t xml:space="preserve"> ARTÍCULO 6 DEFINICIONES LITERAL B.</t>
    </r>
  </si>
  <si>
    <r>
      <rPr>
        <b/>
        <sz val="9"/>
        <color rgb="FF000000"/>
        <rFont val="Arial Narrow"/>
        <family val="2"/>
        <charset val="1"/>
      </rPr>
      <t>CONSTITUCIÓN POLÍTICA DE COLOMBIA
ARTÍCULO 15</t>
    </r>
    <r>
      <rPr>
        <sz val="9"/>
        <color rgb="FF000000"/>
        <rFont val="Arial Narrow"/>
        <family val="2"/>
        <charset val="1"/>
      </rPr>
      <t xml:space="preserve">.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t>
    </r>
    <r>
      <rPr>
        <sz val="9"/>
        <color rgb="FF000000"/>
        <rFont val="Arial Narrow"/>
        <family val="2"/>
      </rPr>
      <t xml:space="preserve">
</t>
    </r>
    <r>
      <rPr>
        <b/>
        <sz val="9"/>
        <color rgb="FF000000"/>
        <rFont val="Arial Narrow"/>
        <family val="2"/>
      </rPr>
      <t>ARTÍCULO 74:</t>
    </r>
    <r>
      <rPr>
        <sz val="9"/>
        <color rgb="FF000000"/>
        <rFont val="Arial Narrow"/>
        <family val="2"/>
      </rPr>
      <t xml:space="preserve"> TODAS LAS PERSONAS TIENEN DERECHO A ACCEDER A LOS DOCUMENTOS PÚBLICOS SALVO LOS CASOS QUE ESTABLEZCA LA LEY. EL SECRETO PROFESIONAL ES INVIOLABLE.
</t>
    </r>
    <r>
      <rPr>
        <sz val="9"/>
        <color rgb="FF000000"/>
        <rFont val="Arial Narrow"/>
        <family val="2"/>
        <charset val="1"/>
      </rPr>
      <t xml:space="preserve">
</t>
    </r>
  </si>
  <si>
    <r>
      <rPr>
        <sz val="9"/>
        <color rgb="FF000000"/>
        <rFont val="Arial Narrow"/>
        <family val="2"/>
      </rPr>
      <t xml:space="preserve">LEY 1712 DE 2014 </t>
    </r>
    <r>
      <rPr>
        <b/>
        <sz val="9"/>
        <color rgb="FF000000"/>
        <rFont val="Arial Narrow"/>
        <family val="2"/>
      </rPr>
      <t>LEY DE TRANSPARENCIA Y DERECHO DE ACCESO A LA INFORMACIÓN</t>
    </r>
    <r>
      <rPr>
        <sz val="9"/>
        <color rgb="FF000000"/>
        <rFont val="Arial Narrow"/>
        <family val="2"/>
      </rPr>
      <t xml:space="preserve">. ARTÍCULO 6 </t>
    </r>
    <r>
      <rPr>
        <b/>
        <sz val="9"/>
        <color rgb="FF000000"/>
        <rFont val="Arial Narrow"/>
        <family val="2"/>
      </rPr>
      <t>DEFINICIONES</t>
    </r>
    <r>
      <rPr>
        <sz val="9"/>
        <color rgb="FF000000"/>
        <rFont val="Arial Narrow"/>
        <family val="2"/>
      </rPr>
      <t xml:space="preserve"> LITERALES:
A) </t>
    </r>
    <r>
      <rPr>
        <b/>
        <sz val="9"/>
        <color rgb="FF000000"/>
        <rFont val="Arial Narrow"/>
        <family val="2"/>
      </rPr>
      <t>INFORMACIÓN</t>
    </r>
    <r>
      <rPr>
        <sz val="9"/>
        <color rgb="FF000000"/>
        <rFont val="Arial Narrow"/>
        <family val="2"/>
      </rPr>
      <t xml:space="preserve"> ES UN CONJUNTO ORGANIZADO DE DATOS CONTENIDOS EN CUALQUIER DOCUMENTO QUE LOS SUJETOS OBLIGADOS GENEREN, OBTENGAN, ADQUIERAN, TRANSFORMEN O CONTROLEN.
B) </t>
    </r>
    <r>
      <rPr>
        <b/>
        <sz val="9"/>
        <color rgb="FF000000"/>
        <rFont val="Arial Narrow"/>
        <family val="2"/>
      </rPr>
      <t>I</t>
    </r>
    <r>
      <rPr>
        <b/>
        <u/>
        <sz val="9"/>
        <color rgb="FF000000"/>
        <rFont val="Arial Narrow"/>
        <family val="2"/>
      </rPr>
      <t>NFORMACIÓN PÚBLICA</t>
    </r>
    <r>
      <rPr>
        <sz val="9"/>
        <color rgb="FF000000"/>
        <rFont val="Arial Narrow"/>
        <family val="2"/>
      </rPr>
      <t xml:space="preserve"> ES TODA INFORMACIÓN QUE UN SUJETO OBLIGADO GENERE, OBTENGA, ADQUIERA, O CONTROLE EN SU CALIDAD DE TAL.
</t>
    </r>
    <r>
      <rPr>
        <sz val="9"/>
        <color rgb="FF000000"/>
        <rFont val="Arial Narrow"/>
        <family val="2"/>
        <charset val="1"/>
      </rPr>
      <t xml:space="preserve">DECRETO NACIONAL 1377 DE 2013 QUE REGLAMENTA PARCIALMENTE LA LEY ESTATUTARIA 1581 DE 2012 ARTÍCULO 3 DEFINE EN EL NUMERAL 2 </t>
    </r>
    <r>
      <rPr>
        <b/>
        <sz val="9"/>
        <color rgb="FF000000"/>
        <rFont val="Arial Narrow"/>
        <family val="2"/>
        <charset val="1"/>
      </rPr>
      <t>DATO PÚBLICO</t>
    </r>
    <r>
      <rPr>
        <sz val="9"/>
        <color rgb="FF000000"/>
        <rFont val="Arial Narrow"/>
        <family val="2"/>
        <charset val="1"/>
      </rPr>
      <t xml:space="preserve">: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t>
    </r>
  </si>
  <si>
    <r>
      <rPr>
        <sz val="9"/>
        <color rgb="FF000000"/>
        <rFont val="Arial Narrow"/>
        <family val="2"/>
        <charset val="1"/>
      </rPr>
      <t xml:space="preserve">LEY 1712 DE 2014, ARTÍCULO 18 </t>
    </r>
    <r>
      <rPr>
        <sz val="9"/>
        <color rgb="FF000000"/>
        <rFont val="Arial Narrow"/>
        <family val="2"/>
      </rPr>
      <t xml:space="preserve">CORREGIDO POR EL ARTÍCULO 2 DEL DECRETO LEY 1494 DE 2015. </t>
    </r>
    <r>
      <rPr>
        <b/>
        <sz val="9"/>
        <color rgb="FF000000"/>
        <rFont val="Arial Narrow"/>
        <family val="2"/>
      </rPr>
      <t>INFORMACIÓN EXCEPTUADA POR DAÑO DE DERECHOS A PERSONAS NATURALES O JURÍDICAS</t>
    </r>
    <r>
      <rPr>
        <sz val="9"/>
        <color rgb="FF000000"/>
        <rFont val="Arial Narrow"/>
        <family val="2"/>
      </rPr>
      <t xml:space="preserve">. ES TODA AQUELLA </t>
    </r>
    <r>
      <rPr>
        <b/>
        <sz val="9"/>
        <color rgb="FF000000"/>
        <rFont val="Arial Narrow"/>
        <family val="2"/>
      </rPr>
      <t>INFORMACIÓN PÚBLICA CLASIFICADA</t>
    </r>
    <r>
      <rPr>
        <sz val="9"/>
        <color rgb="FF000000"/>
        <rFont val="Arial Narrow"/>
        <family val="2"/>
      </rPr>
      <t xml:space="preserve">, CUYO ACCESO PODRÁ SER RECHAZADO O DENEGADO DE MANERA MOTIVA Y POR ESCRITO, SIEMPRE QUE EL ACCESO PUDIERA CAUSAR UN DAÑO A LOS SIGUIENTES DERECHOS:
</t>
    </r>
    <r>
      <rPr>
        <sz val="9"/>
        <color rgb="FF000000"/>
        <rFont val="Arial Narrow"/>
        <family val="2"/>
        <charset val="1"/>
      </rPr>
      <t xml:space="preserve">LITERAL A CORREGIDO POR EL ARTÍCULO 1 DECRETO NACIONAL 2199 DE 2015 </t>
    </r>
    <r>
      <rPr>
        <b/>
        <sz val="9"/>
        <color rgb="FF000000"/>
        <rFont val="Arial Narrow"/>
        <family val="2"/>
        <charset val="1"/>
      </rPr>
      <t>"EL DERECHO DE TODA PERSONA A LA INTIMIDAD</t>
    </r>
    <r>
      <rPr>
        <sz val="9"/>
        <color rgb="FF000000"/>
        <rFont val="Arial Narrow"/>
        <family val="2"/>
        <charset val="1"/>
      </rPr>
      <t xml:space="preserve">, BAJO LAS LIMITACIONES PROPIAS QUE IMPONE LA CONDICIÓN DE SERVIDOR PUBLICO, EN CONCORDANCIA CON LO ESTIPULADO POR EL ARTÍCULO 24 DE LA LEY 1437 DE 2011."  
</t>
    </r>
  </si>
  <si>
    <r>
      <rPr>
        <b/>
        <sz val="9"/>
        <color rgb="FF000000"/>
        <rFont val="Arial Narrow"/>
        <family val="2"/>
        <charset val="1"/>
      </rPr>
      <t xml:space="preserve">LEY 1712 DE 2014 </t>
    </r>
    <r>
      <rPr>
        <sz val="9"/>
        <color rgb="FF000000"/>
        <rFont val="Arial Narrow"/>
        <family val="2"/>
        <charset val="1"/>
      </rPr>
      <t xml:space="preserve"> ARTÍCULO 6 DEFINICIONES LITERAL C) </t>
    </r>
    <r>
      <rPr>
        <b/>
        <sz val="9"/>
        <color rgb="FF000000"/>
        <rFont val="Arial Narrow"/>
        <family val="2"/>
        <charset val="1"/>
      </rPr>
      <t>INFORMACIÓN PÚBLICA CLASIFICADA.</t>
    </r>
    <r>
      <rPr>
        <sz val="9"/>
        <color rgb="FF000000"/>
        <rFont val="Arial Narrow"/>
        <family val="2"/>
        <charset val="1"/>
      </rPr>
      <t xml:space="preserve">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t>
    </r>
    <r>
      <rPr>
        <b/>
        <sz val="9"/>
        <color rgb="FF000000"/>
        <rFont val="Arial Narrow"/>
        <family val="2"/>
        <charset val="1"/>
      </rPr>
      <t xml:space="preserve">ARTÍCULO 24 LEY 1437 DE 2011 CPACA </t>
    </r>
    <r>
      <rPr>
        <sz val="9"/>
        <color rgb="FF000000"/>
        <rFont val="Arial Narrow"/>
        <family val="2"/>
        <charset val="1"/>
      </rPr>
      <t xml:space="preserve">- SUSTITUIDO POR EL ARTÍCULO 1 DE LA LEY 1755 DE 2015 - DERECHO PETICIÓN ANTE AUTORIDADES – REGLAS ESPECIALES INFORMACIÓN Y DOCUMENTOS RESERVADOS – 1. RELACIONADOS CON LA DEFENSA O SEGURIDAD NACIONAL – 2. INSTRUCCIONES EN MATERIA DIPLOMÁTICA O SOBRE NEGOCIACIONES RESERVADAS – </t>
    </r>
    <r>
      <rPr>
        <b/>
        <sz val="9"/>
        <color rgb="FF000000"/>
        <rFont val="Arial Narrow"/>
        <family val="2"/>
        <charset val="1"/>
      </rPr>
      <t>3. INVOLUCREN DERECHOS A LA PRIVACIDAD E INTIMIDAD DE LAS PERSONAS, HOJAS DE VIDA, HISTORIA LABORAL, EXPEDIENTE PENSIONAL HISTORIA CLÍNICA</t>
    </r>
    <r>
      <rPr>
        <sz val="9"/>
        <color rgb="FF000000"/>
        <rFont val="Arial Narrow"/>
        <family val="2"/>
        <charset val="1"/>
      </rPr>
      <t xml:space="preserve">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t>
    </r>
  </si>
  <si>
    <r>
      <rPr>
        <sz val="9"/>
        <color rgb="FF000000"/>
        <rFont val="Arial Narrow"/>
        <family val="2"/>
      </rPr>
      <t xml:space="preserve">LEY 1266 DE 2008  </t>
    </r>
    <r>
      <rPr>
        <b/>
        <sz val="9"/>
        <color rgb="FF000000"/>
        <rFont val="Arial Narrow"/>
        <family val="2"/>
      </rPr>
      <t>HÁBEAS DATA – INFORMACIÓN CONTENIDA EN BASES DE DATOS PERSONALES, EN ESPECIAL LA FINANCIERA, CREDITICIA, COMERCIAL , DE SERVICIOS Y LOS PROVENIENTES DE TERCEROS PAÍSES</t>
    </r>
    <r>
      <rPr>
        <sz val="9"/>
        <color rgb="FF000000"/>
        <rFont val="Arial Narrow"/>
        <family val="2"/>
      </rPr>
      <t xml:space="preserve"> 
ARTÍCULO 4 NUMERAL 3: </t>
    </r>
    <r>
      <rPr>
        <b/>
        <sz val="9"/>
        <color rgb="FF000000"/>
        <rFont val="Arial Narrow"/>
        <family val="2"/>
      </rPr>
      <t>PRINCIPIO DE CIRCULACIÓN RESTRINGIDA</t>
    </r>
    <r>
      <rPr>
        <sz val="9"/>
        <color rgb="FF000000"/>
        <rFont val="Arial Narrow"/>
        <family val="2"/>
      </rPr>
      <t xml:space="preserve">.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t>
    </r>
    <r>
      <rPr>
        <sz val="9"/>
        <color rgb="FF000000"/>
        <rFont val="Arial Narrow"/>
        <family val="2"/>
        <charset val="1"/>
      </rPr>
      <t xml:space="preserve">
</t>
    </r>
    <r>
      <rPr>
        <b/>
        <sz val="9"/>
        <color rgb="FF000000"/>
        <rFont val="Arial Narrow"/>
        <family val="2"/>
      </rPr>
      <t xml:space="preserve">PARÁGRAFO </t>
    </r>
    <r>
      <rPr>
        <sz val="9"/>
        <color rgb="FF000000"/>
        <rFont val="Arial Narrow"/>
        <family val="2"/>
      </rPr>
      <t xml:space="preserve">ARTÍCULO 24 LEY 1437 DE 2011 </t>
    </r>
    <r>
      <rPr>
        <b/>
        <sz val="9"/>
        <color rgb="FF000000"/>
        <rFont val="Arial Narrow"/>
        <family val="2"/>
      </rPr>
      <t>CPACA</t>
    </r>
    <r>
      <rPr>
        <sz val="9"/>
        <color rgb="FF000000"/>
        <rFont val="Arial Narrow"/>
        <family val="2"/>
      </rPr>
      <t xml:space="preserve"> - SUSTITUIDO POR EL ARTÍCULO 1 DE LA LEY 1755 DE 2015 PARÁGRAFO LOS NUMERALES 3, 5, 6 Y 7 SOLO PODRÁ SER SOLICITADA POR EL TITULAR DE LA INFORMACIÓN, POR SUS APODERADOS O POR PERSONAS AUTORIZADAS CON FACULTAD EXPRESA PARA ACCEDER A ESA INFORMACIÓN.
</t>
    </r>
    <r>
      <rPr>
        <sz val="9"/>
        <color rgb="FF000000"/>
        <rFont val="Arial Narrow"/>
        <family val="2"/>
        <charset val="1"/>
      </rPr>
      <t xml:space="preserve">
LEY ESTATUTARIA 1581 DE 2012, ARTÍCULO 4: </t>
    </r>
    <r>
      <rPr>
        <b/>
        <sz val="9"/>
        <color rgb="FF000000"/>
        <rFont val="Arial Narrow"/>
        <family val="2"/>
        <charset val="1"/>
      </rPr>
      <t>PRINCIPIO DE ACCESO Y CIRCULACIÓN RESTRINGIDA:</t>
    </r>
    <r>
      <rPr>
        <sz val="9"/>
        <color rgb="FF000000"/>
        <rFont val="Arial Narrow"/>
        <family val="2"/>
        <charset val="1"/>
      </rPr>
      <t xml:space="preserve">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t>
    </r>
    <r>
      <rPr>
        <sz val="9"/>
        <color rgb="FF000000"/>
        <rFont val="Arial Narrow"/>
        <family val="2"/>
      </rPr>
      <t xml:space="preserve">
DECRETO NACIONAL 1377 DE 2013 QUE REGLAMENTA PARCIALMENTE LA LEY ESTATUTARIA 1581 DE 2012 ARTÍCULO 3 DEFINE EN EL NUMERAL 3. </t>
    </r>
    <r>
      <rPr>
        <b/>
        <sz val="9"/>
        <color rgb="FF000000"/>
        <rFont val="Arial Narrow"/>
        <family val="2"/>
      </rPr>
      <t>DATO SENSIBLE.</t>
    </r>
    <r>
      <rPr>
        <sz val="9"/>
        <color rgb="FF000000"/>
        <rFont val="Arial Narrow"/>
        <family val="2"/>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t>
    </r>
  </si>
  <si>
    <r>
      <rPr>
        <sz val="9"/>
        <color rgb="FF000000"/>
        <rFont val="Arial Narrow"/>
        <family val="2"/>
        <charset val="1"/>
      </rPr>
      <t xml:space="preserve">LEY 1712 DE 2014, ARTÍCULO 18 </t>
    </r>
    <r>
      <rPr>
        <sz val="9"/>
        <color rgb="FF000000"/>
        <rFont val="Arial Narrow"/>
        <family val="2"/>
      </rPr>
      <t xml:space="preserve">CORREGIDO POR EL ARTÍCULO 2 DEL DECRETO LEY 1494 DE 2015. INFORMACIÓN EXCEPTUADA POR DAÑO DE DERECHOS A PERSONAS NATURALES O JURÍDICAS, </t>
    </r>
    <r>
      <rPr>
        <sz val="9"/>
        <color rgb="FF000000"/>
        <rFont val="Arial Narrow"/>
        <family val="2"/>
        <charset val="1"/>
      </rPr>
      <t>LITERAL B "EL DERECHO DE TODA PERSONA A LA VIDA, LA SALUD O LA SEGURIDAD."</t>
    </r>
  </si>
  <si>
    <r>
      <rPr>
        <sz val="9"/>
        <color rgb="FF000000"/>
        <rFont val="Arial Narrow"/>
        <family val="2"/>
      </rPr>
      <t xml:space="preserve">LEY 1266 DE 2008 </t>
    </r>
    <r>
      <rPr>
        <b/>
        <sz val="9"/>
        <color rgb="FF000000"/>
        <rFont val="Arial Narrow"/>
        <family val="2"/>
      </rPr>
      <t>HÁBEAS DATA – INFORMACIÓN CONTENIDA EN BASES DE DATOS PERSONALES, EN ESPECIAL LA FINANCIERA, CREDITICIA, COMERCIAL , DE SERVICIOS Y LOS PROVENIENTES DE TERCEROS PAÍSE</t>
    </r>
    <r>
      <rPr>
        <sz val="9"/>
        <color rgb="FF000000"/>
        <rFont val="Arial Narrow"/>
        <family val="2"/>
      </rPr>
      <t xml:space="preserve">S. ARTÍCULO 4 NUMERAL 3
</t>
    </r>
    <r>
      <rPr>
        <b/>
        <sz val="9"/>
        <color rgb="FF000000"/>
        <rFont val="Arial Narrow"/>
        <family val="2"/>
      </rPr>
      <t xml:space="preserve">PARÁGRAFO </t>
    </r>
    <r>
      <rPr>
        <sz val="9"/>
        <color rgb="FF000000"/>
        <rFont val="Arial Narrow"/>
        <family val="2"/>
      </rPr>
      <t xml:space="preserve">ARTÍCULO 24 LEY 1437 DE 2011 </t>
    </r>
    <r>
      <rPr>
        <b/>
        <sz val="9"/>
        <color rgb="FF000000"/>
        <rFont val="Arial Narrow"/>
        <family val="2"/>
      </rPr>
      <t>CPACA</t>
    </r>
    <r>
      <rPr>
        <sz val="9"/>
        <color rgb="FF000000"/>
        <rFont val="Arial Narrow"/>
        <family val="2"/>
      </rPr>
      <t xml:space="preserve">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t>
    </r>
  </si>
  <si>
    <t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t>
  </si>
  <si>
    <r>
      <rPr>
        <sz val="9"/>
        <color rgb="FF000000"/>
        <rFont val="Arial Narrow"/>
        <family val="2"/>
      </rPr>
      <t xml:space="preserve"> ARTÍCULO 24 LEY 1437 DE 2011 CPACA - SUSTITUIDO POR EL ARTÍCULO 1 DE LA LEY 1755 DE 2015 
</t>
    </r>
    <r>
      <rPr>
        <b/>
        <sz val="9"/>
        <color rgb="FF000000"/>
        <rFont val="Arial Narrow"/>
        <family val="2"/>
      </rPr>
      <t xml:space="preserve">ARTÍCULO 24 LEY 1437 DE 2011 CPACA </t>
    </r>
    <r>
      <rPr>
        <sz val="9"/>
        <color rgb="FF000000"/>
        <rFont val="Arial Narrow"/>
        <family val="2"/>
      </rPr>
      <t xml:space="preserve">- SUSTITUIDO POR EL ARTÍCULO 1 DE LA LEY 1755 DE 2015 - DERECHO PETICIÓN ANTE AUTORIDADES – REGLAS ESPECIALES INFORMACIÓN Y DOCUMENTOS RESERVADOS – 6. PROTEGIDOS POR SECRETO COMERCIAL O INDUSTRIAL, </t>
    </r>
  </si>
  <si>
    <r>
      <rPr>
        <b/>
        <sz val="9"/>
        <color rgb="FF000000"/>
        <rFont val="Arial Narrow"/>
        <family val="2"/>
      </rPr>
      <t>LEY 1474 DE 2011 NORMAS ORIENTADAS A FORTALECER LOS MECANISMOS DE PREVENCIÓN, INVESTIGACIÓN Y SANCIÓN DE ACTOS DE CORRUPCIÓN Y LA EFECTIVIDAD DEL CONTROL DE LA GESTIÓN PÚBLICA</t>
    </r>
    <r>
      <rPr>
        <sz val="9"/>
        <color rgb="FF000000"/>
        <rFont val="Arial Narrow"/>
        <family val="2"/>
      </rPr>
      <t xml:space="preserve">.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t>
    </r>
    <r>
      <rPr>
        <b/>
        <sz val="9"/>
        <color rgb="FF000000"/>
        <rFont val="Arial Narrow"/>
        <family val="2"/>
      </rPr>
      <t xml:space="preserve">PARÁGRAFO </t>
    </r>
    <r>
      <rPr>
        <sz val="9"/>
        <color rgb="FF000000"/>
        <rFont val="Arial Narrow"/>
        <family val="2"/>
      </rPr>
      <t xml:space="preserve">ARTÍCULO 24 LEY 1437 DE 2011 </t>
    </r>
    <r>
      <rPr>
        <b/>
        <sz val="9"/>
        <color rgb="FF000000"/>
        <rFont val="Arial Narrow"/>
        <family val="2"/>
      </rPr>
      <t>CPACA</t>
    </r>
    <r>
      <rPr>
        <sz val="9"/>
        <color rgb="FF000000"/>
        <rFont val="Arial Narrow"/>
        <family val="2"/>
      </rPr>
      <t xml:space="preserve">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t>
    </r>
  </si>
  <si>
    <t>LEY 1712   DE 2014  ARTÍCULO 19 LITERAL A "LA DEFENSA Y SEGURIDAD NACIONAL."</t>
  </si>
  <si>
    <r>
      <rPr>
        <sz val="9"/>
        <color rgb="FF000000"/>
        <rFont val="Arial Narrow"/>
        <family val="2"/>
      </rPr>
      <t xml:space="preserve">LEY 1712 DE 2014 ARTÍCULO 6 LITERAL D. </t>
    </r>
    <r>
      <rPr>
        <b/>
        <sz val="9"/>
        <color rgb="FF000000"/>
        <rFont val="Arial Narrow"/>
        <family val="2"/>
      </rPr>
      <t xml:space="preserve">INFORMACIÓN PÚBLICA RESERVADA. </t>
    </r>
    <r>
      <rPr>
        <sz val="9"/>
        <color rgb="FF000000"/>
        <rFont val="Arial Narrow"/>
        <family val="2"/>
      </rPr>
      <t xml:space="preserve">ES AQUELLA INFORMACIÓN QUE ESTANDO EN PODER O CUSTODIA DEL SUJETO OBLIGADO EN SU CALIDAD DE TAL, ES EXCEPTUADA DE ACCESO A LA CIUDADANÍA POR DAÑO A INTERESES PÚBLICOS Y BAJO CUMPLIMIENTO DE LA TOTALIDAD DE LOS REQUISITOS CONSAGRADOS EN EL ARTÍCULO 19 DE ESTA LEY
</t>
    </r>
    <r>
      <rPr>
        <b/>
        <sz val="9"/>
        <color rgb="FF000000"/>
        <rFont val="Arial Narrow"/>
        <family val="2"/>
      </rPr>
      <t xml:space="preserve">
ARTÍCULO 24 LEY 1437 DE 2011 CPACA </t>
    </r>
    <r>
      <rPr>
        <sz val="9"/>
        <color rgb="FF000000"/>
        <rFont val="Arial Narrow"/>
        <family val="2"/>
      </rPr>
      <t>- SUSTITUIDO POR EL ARTÍCULO 1 DE LA LEY 1755 DE 2015 - DERECHO PETICIÓN ANTE AUTORIDADES – REGLAS ESPECIALES INFORMACIÓN Y DOCUMENTOS RESERVADOS – 1. RELACIONADOS CON LA DEFENSA O SEGURIDAD NACIONAL.</t>
    </r>
  </si>
  <si>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t>
  </si>
  <si>
    <t>LEY 1712   DE 2014, ARTÍCULO 19 LITERAL B "LA SEGURIDAD PÚBLICA."</t>
  </si>
  <si>
    <t xml:space="preserve">LEY 1712 DE 2014 ARTÍCULO 19  </t>
  </si>
  <si>
    <t>LEY 1712   DE 2014 ARTÍCULO 19 LITERAL C "LAS RELACIONES INTERNACIONALES."</t>
  </si>
  <si>
    <r>
      <rPr>
        <b/>
        <sz val="9"/>
        <color rgb="FF000000"/>
        <rFont val="Arial Narrow"/>
        <family val="2"/>
      </rPr>
      <t xml:space="preserve">ARTÍCULO 24 LEY 1437 DE 2011 CPACA </t>
    </r>
    <r>
      <rPr>
        <sz val="9"/>
        <color rgb="FF000000"/>
        <rFont val="Arial Narrow"/>
        <family val="2"/>
      </rPr>
      <t xml:space="preserve">- SUSTITUIDO POR EL ARTÍCULO 1 DE LA LEY 1755 DE 2015 </t>
    </r>
    <r>
      <rPr>
        <sz val="9"/>
        <color rgb="FF000000"/>
        <rFont val="Arial Narrow"/>
        <family val="2"/>
        <charset val="1"/>
      </rPr>
      <t xml:space="preserve">NUMERAL 2: TENDRÁN CARÁCTER RESERVADO LAS INFORMACIONES Y DOCUMENTOS EXPRESAMENTE SOMETIDOS A RESERVA POR LA CONSTITUCIÓN POLÍTICA Y EN ESPECIAL LAS INSTRUCCIONES EN MATERIA DIPLOMÁTICA
</t>
    </r>
  </si>
  <si>
    <t>LEY 1712  DE 2014,  ARTÍCULO 19 LITERAL D "LA PREVENCIÓN, INVESTIGACIÓN Y PERSECUCIÓN DE LOS DELITOS Y LAS FALTAS DISCIPLINARIAS, MIENTRAS QUE NO SE HAGA EFECTIVA LA MEDIDA DE ASEGURAMIENTO O SE FORMULE PLIEGO DE CARGOS, SEGÚN EL CASO."</t>
  </si>
  <si>
    <r>
      <rPr>
        <b/>
        <sz val="9"/>
        <color rgb="FF000000"/>
        <rFont val="Arial Narrow"/>
        <family val="2"/>
        <charset val="1"/>
      </rPr>
      <t>LEY 1952 DE 2019 CÓDIGO GENERAL DISCIPLINARIO,</t>
    </r>
    <r>
      <rPr>
        <sz val="9"/>
        <color rgb="FF000000"/>
        <rFont val="Arial Narrow"/>
        <family val="2"/>
        <charset val="1"/>
      </rPr>
      <t xml:space="preserve">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t>
    </r>
  </si>
  <si>
    <t>LEY 1952 DE 2019 ARTÍCULO 115 HASTA CUANDO SE CITE A LA AUDIENCIA Y SE FORMULE PLIEGO DE CARGOS O SE EMITA LA PROVIDENCIA QUE ORDENE EL ARCHIVO DEFINITIVO.</t>
  </si>
  <si>
    <t>LEY 1712   DE 2014 ARTÍCULO 19 LITERAL E "EL DEBIDO PROCESO Y LA IGUALDAD DE LAS PARTES EN LOS PROCESOS JUDICIALES."</t>
  </si>
  <si>
    <r>
      <rPr>
        <b/>
        <sz val="9"/>
        <color rgb="FF000000"/>
        <rFont val="Arial Narrow"/>
        <family val="2"/>
        <charset val="1"/>
      </rPr>
      <t>CONSTITUCIÓN POLÍTICA DE COLOMBIA ARTÍCULO 29.</t>
    </r>
    <r>
      <rPr>
        <sz val="9"/>
        <color rgb="FF000000"/>
        <rFont val="Arial Narrow"/>
        <family val="2"/>
        <charset val="1"/>
      </rPr>
      <t xml:space="preserve">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t>
    </r>
  </si>
  <si>
    <r>
      <rPr>
        <sz val="9"/>
        <color rgb="FF000000"/>
        <rFont val="Arial Narrow"/>
        <family val="2"/>
        <charset val="1"/>
      </rPr>
      <t xml:space="preserve">LEY 1712 DE 2014 ARTÍCULO 19   
</t>
    </r>
    <r>
      <rPr>
        <sz val="9"/>
        <color rgb="FF000000"/>
        <rFont val="Arial Narrow"/>
        <family val="2"/>
      </rPr>
      <t>LEY 1564  DE 2012 CÓDIGO GENERAL DEL PROCESO</t>
    </r>
  </si>
  <si>
    <t>LEY 1712   DE 2014, ARTÍCULO 19 LITERAL F "LA ADMINISTRACIÓN EFECTIVA DE LA JUSTICIA."</t>
  </si>
  <si>
    <r>
      <rPr>
        <sz val="9"/>
        <color rgb="FF000000"/>
        <rFont val="Arial Narrow"/>
        <family val="2"/>
        <charset val="1"/>
      </rPr>
      <t xml:space="preserve">LEY 1712   </t>
    </r>
    <r>
      <rPr>
        <sz val="9"/>
        <color rgb="FFC9211E"/>
        <rFont val="Arial Narrow"/>
        <family val="2"/>
        <charset val="1"/>
      </rPr>
      <t>DE 2014</t>
    </r>
    <r>
      <rPr>
        <sz val="9"/>
        <color rgb="FF000000"/>
        <rFont val="Arial Narrow"/>
        <family val="2"/>
        <charset val="1"/>
      </rPr>
      <t xml:space="preserve"> ARTÍCULO 19 LITERAL G "LOS DERECHOS DE LA INFANCIA Y LA ADOLESCENCIA."</t>
    </r>
  </si>
  <si>
    <t>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t>
  </si>
  <si>
    <r>
      <rPr>
        <sz val="9"/>
        <color rgb="FF000000"/>
        <rFont val="Arial Narrow"/>
        <family val="2"/>
        <charset val="1"/>
      </rPr>
      <t xml:space="preserve">LEY 1712   </t>
    </r>
    <r>
      <rPr>
        <sz val="9"/>
        <color rgb="FFC9211E"/>
        <rFont val="Arial Narrow"/>
        <family val="2"/>
        <charset val="1"/>
      </rPr>
      <t xml:space="preserve">DE 2014 </t>
    </r>
    <r>
      <rPr>
        <sz val="9"/>
        <color rgb="FF000000"/>
        <rFont val="Arial Narrow"/>
        <family val="2"/>
        <charset val="1"/>
      </rPr>
      <t>ARTÍCULO 19 LITERAL H "LA ESTABILIDAD MACROECONÓMICA Y FINANCIERA DEL PAÍS."</t>
    </r>
  </si>
  <si>
    <t>LEY 1712   DE 2014  ARTÍCULO 19 LITERAL I "LA SALUD PÚBLICA."</t>
  </si>
  <si>
    <t>LEY 1712 DE 2014  ARTÍCULO 19 PARÁGRAFO "SE EXCEPTÚAN TAMBIÉN LOS DOCUMENTOS QUE CONTENGAN LAS OPINIONES O PUNTOS DE VISTA QUE FORMEN PARTE DEL PROCESO DELIBERATIVO DE LOS SERVIDORES PÚBLICOS."</t>
  </si>
  <si>
    <t>LEY 1712 DE 2014 ARTÍCULO 19 PARÁGRAFO: SE EXCEPTÚAN TAMBIÉN LOS DOCUMENTOS QUE CONTENGAN LAS OPINIONES O PUNTOS DE VISTA QUE FORMEN PARTE DEL PROCESO DELIBERATIVO DE LOS SERVIDORES PÚBLICOS</t>
  </si>
  <si>
    <t>DIRECCIÓN DE GESTIÓN CORPORATIVA Y RELACIÓN CON EL CIUDADANO</t>
  </si>
  <si>
    <t>DIRECCIÓN DE FOMENTO</t>
  </si>
  <si>
    <t>DIRECCIÓN DE ARTE, CULTURA Y PATRIMONIO</t>
  </si>
  <si>
    <t>DIRECCIÓN  DE LECTURA Y BIBLIOTECAS</t>
  </si>
  <si>
    <t>DIRECCIÓN DE OBSERVATIORIO Y GESTIÓN DEL CONOCIMIENTO CULTURAL</t>
  </si>
  <si>
    <t>FINANCIERA</t>
  </si>
  <si>
    <t>TALENTO HUMANO</t>
  </si>
  <si>
    <t>CONTRATOS</t>
  </si>
  <si>
    <t>DIRECCIÓN DE ASUNTOS LOCALES Y PARTICIPACIÓN</t>
  </si>
  <si>
    <t>SERVICIOS ADMINISTRTAIVOS</t>
  </si>
  <si>
    <t>DIRECCIÓN DE TRANSFORMACIONES CULTURALES</t>
  </si>
  <si>
    <t>DIRECCIÓN DE REDES A ACCIÓN COLECTIVA</t>
  </si>
  <si>
    <t>DESPACHO</t>
  </si>
  <si>
    <t>DIRECCIÓN DE ECONOMIA ESTUDIOS Y POLÍTICA</t>
  </si>
  <si>
    <t>DIRECCIÓN DE PERSONAS JURÍDICAS</t>
  </si>
  <si>
    <t>OFICINA DE TECNOLOGÍAS DE LA INFORMACIÓN</t>
  </si>
  <si>
    <t>OFICINA JURÍDICA</t>
  </si>
  <si>
    <t>SUBSECRETARÍA DE GOBERNANZA</t>
  </si>
  <si>
    <t xml:space="preserve">SUBSECRETARÍA DISTRITAL DE CULTURA CIUDADANA Y GESTIÓN DEL CONOCIMIENTO </t>
  </si>
  <si>
    <t>Í</t>
  </si>
  <si>
    <t>Ó</t>
  </si>
  <si>
    <r>
      <t xml:space="preserve">ARTÍCULO 24 LEY 1437 DE 2011 CPACA </t>
    </r>
    <r>
      <rPr>
        <sz val="9"/>
        <color rgb="FF000000"/>
        <rFont val="Arial Narrow"/>
        <family val="2"/>
      </rPr>
      <t>- SUSTITUIDO POR EL ARTÍCULO 1 DE LA LEY 1755 DE 2015 NUMERAL</t>
    </r>
    <r>
      <rPr>
        <sz val="9"/>
        <color rgb="FF000000"/>
        <rFont val="Arial Narrow"/>
        <family val="2"/>
        <charset val="1"/>
      </rPr>
      <t xml:space="preserve">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r>
  </si>
  <si>
    <t>Ú</t>
  </si>
  <si>
    <r>
      <t xml:space="preserve">LEY 1712 DE 2014 ARTÍCULO 6 LITERAL C) </t>
    </r>
    <r>
      <rPr>
        <b/>
        <sz val="9"/>
        <color rgb="FF000000"/>
        <rFont val="Arial Narrow"/>
        <family val="2"/>
      </rPr>
      <t>INFORMACIÓN PÚBLICA CLASIFICADA</t>
    </r>
    <r>
      <rPr>
        <sz val="9"/>
        <color rgb="FF000000"/>
        <rFont val="Arial Narrow"/>
        <family val="2"/>
      </rPr>
      <t xml:space="preserve">.  ES AQUELLA INFORMACIÓN QUE ESTANDO EN PODER O CUSTODIA DE UN SUJETO OBLIGADO EN SU CALIDAD DE TAL, </t>
    </r>
    <r>
      <rPr>
        <b/>
        <sz val="9"/>
        <color rgb="FF000000"/>
        <rFont val="Arial Narrow"/>
        <family val="2"/>
      </rPr>
      <t>PERTENECE AL ÁMBITO PROPIO, PARTICULAR Y PRIVADO O SEMIPRIVADO DE UNA PERSONA NATURAL O JURÍDICA</t>
    </r>
    <r>
      <rPr>
        <sz val="9"/>
        <color rgb="FF000000"/>
        <rFont val="Arial Narrow"/>
        <family val="2"/>
      </rPr>
      <t xml:space="preserve"> POR LO QUE SU ACCESO PODRÁ SER NEGADO O EXCEPTUADO, SIEMPRE QUE SE TRATE DE LAS CIRCUNSTANCIAS LEGÍTIMAS Y NECESARIAS Y LOS DERECHOS PARTICULARES O PRIVADOS CONSAGRADOS EN EL ARTÍCULO 18 DE ESTA LEY. 
 </t>
    </r>
    <r>
      <rPr>
        <b/>
        <sz val="9"/>
        <color rgb="FF000000"/>
        <rFont val="Arial Narrow"/>
        <family val="2"/>
      </rPr>
      <t xml:space="preserve">ARTÍCULO 24 LEY 1437 DE 2011 CPACA </t>
    </r>
    <r>
      <rPr>
        <sz val="9"/>
        <color rgb="FF000000"/>
        <rFont val="Arial Narrow"/>
        <family val="2"/>
      </rPr>
      <t>- SUSTITUIDO POR EL ARTÍCULO 1 DE LA LEY 1755 DE 2015 - DERECHO PETICIÓN ANTE AUTORIDADES – REGLAS ESPECIALES INFORMACIÓN Y DOCUMENTOS RESERVADOS –</t>
    </r>
    <r>
      <rPr>
        <b/>
        <sz val="9"/>
        <color rgb="FF000000"/>
        <rFont val="Arial Narrow"/>
        <family val="2"/>
      </rPr>
      <t xml:space="preserve">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t>
    </r>
  </si>
  <si>
    <t>Á</t>
  </si>
  <si>
    <r>
      <t xml:space="preserve">CONSTITUCIÓN POLÍTICA DE COLOMBIA ARTICULO 228. </t>
    </r>
    <r>
      <rPr>
        <sz val="9"/>
        <color rgb="FF000000"/>
        <rFont val="Arial Narrow"/>
        <family val="2"/>
        <charset val="1"/>
      </rPr>
      <t xml:space="preserve">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t>
    </r>
  </si>
  <si>
    <t>É</t>
  </si>
  <si>
    <t xml:space="preserve">GESTIÓN DEL DIRECCIONAMIENTO ESTRATÉGICO </t>
  </si>
  <si>
    <t xml:space="preserve">GESTIÓN DEL CONOCIMIENTO </t>
  </si>
  <si>
    <t xml:space="preserve">GESTIÓN DE LA MEJORA CONTINUA </t>
  </si>
  <si>
    <t xml:space="preserve">GESTIÓN DE LA COMUNICACIÓN ESTRATÉGICA  </t>
  </si>
  <si>
    <t xml:space="preserve">GESTIÓN DEL RELACIONAMIENTO CON LA CIUDADANÍA 
</t>
  </si>
  <si>
    <t xml:space="preserve">GESTIÓN DE LA FORMULACIÓN Y SEGUIMIENTO DE POLÍTICA PÚBLICA </t>
  </si>
  <si>
    <t xml:space="preserve">GESTIÓN DE LA PROMOCIÓN DE AGENTES Y PRÁCTICAS CULTURALES Y RECREODEPORTIVAS  </t>
  </si>
  <si>
    <t xml:space="preserve">GESTIÓN DE LA CULTURA CIUDADANA  </t>
  </si>
  <si>
    <t xml:space="preserve">GESTIÓN DE INVESTIGACIONES, OBSERVACIONES Y ANALÍTICA DE LA CULTURA, LA RECREACIÓN Y EL DEPORTE </t>
  </si>
  <si>
    <t xml:space="preserve">GESTIÓN DE LA PARTICIPACIÓN CIUDADANA </t>
  </si>
  <si>
    <t xml:space="preserve">GESTIÓN DE LA APROPIACIÓN DE LA INFRAESTRUCTURA Y PATRIMONIO CULTURAL  
</t>
  </si>
  <si>
    <t xml:space="preserve">GESTIÓN DE TECNOLOGÍAS DE LA INFORMACIÓN Y LAS COMUNICACIONES  </t>
  </si>
  <si>
    <t xml:space="preserve">GESTIÓN FINANCIERA  </t>
  </si>
  <si>
    <t xml:space="preserve">GESTIÓN DE TALENTO HUMANO </t>
  </si>
  <si>
    <t>GESTIÓN  JURÍDICA</t>
  </si>
  <si>
    <t xml:space="preserve">GESTIÓN ADMINISTRATIVA </t>
  </si>
  <si>
    <t>GESTIÓN CONTRACTUAL</t>
  </si>
  <si>
    <t xml:space="preserve">GESTIÓN DE LA EVALUACIÓN INDEPENDIENTE </t>
  </si>
  <si>
    <t>GESTIÓN DEL CONTROL DISCIPLINARIO INTERNO</t>
  </si>
  <si>
    <t>INFORMES A CIUDADANOS Y OTRAS ENTIDADES</t>
  </si>
  <si>
    <t xml:space="preserve">CONTIENE INFORMES, OFICIOS, RESPUESTAS A SOLICITUDES DE  ENTIDADES  Y CIUDADANOS. </t>
  </si>
  <si>
    <t xml:space="preserve">OFICINA DE CONTROL DISCIPLINARIO INTERNO </t>
  </si>
  <si>
    <t>JEFE DE OFICINA DE CONTROL  DISCIPLINARIO INTERNO, OFICINA DE TECNOLOGIA DE LA INFORMACIÓN.</t>
  </si>
  <si>
    <t>AMBOS</t>
  </si>
  <si>
    <t>ESPAÑOL</t>
  </si>
  <si>
    <t>INFORMACIÓN DISPONIBLE</t>
  </si>
  <si>
    <t>ARCHIVO DE GESTION DE LA OFICINA DE CONTROL DISCIPLINARIO INTERNO - ARCHIVO CENTRAL</t>
  </si>
  <si>
    <t xml:space="preserve">DATACENTER SECRETARIA DISTRITAL DE CULTURA, RECREACIÓN Y DEPORTE. </t>
  </si>
  <si>
    <t>DOCX, PDF, JPG</t>
  </si>
  <si>
    <t>X</t>
  </si>
  <si>
    <t xml:space="preserve">INFORMES </t>
  </si>
  <si>
    <t>INFORMES A OTROS ORGANISMOS, INFORMES A ENTES DE CONTROL E INFORMES DE EVALUACIÓN Y SEGUIMIENTO</t>
  </si>
  <si>
    <t>SI</t>
  </si>
  <si>
    <t>NO</t>
  </si>
  <si>
    <t>LEY 1712 DE 2014</t>
  </si>
  <si>
    <t>ALEJANDRA ROZO RUIZ</t>
  </si>
  <si>
    <t xml:space="preserve">CLARA MILENA BAHAMON </t>
  </si>
  <si>
    <t xml:space="preserve">BASE DE DATOS DE OFICINA CONTROL DISCIPLINARIO INTERNO </t>
  </si>
  <si>
    <t>NOMBRES, CEDULA, CARGO, MOTIVO, HECHOS</t>
  </si>
  <si>
    <t xml:space="preserve">JEFE DE OFICINA DE CONTROL INTERNO DISCIPLINARIO </t>
  </si>
  <si>
    <t>DIGITAL</t>
  </si>
  <si>
    <t>N.A</t>
  </si>
  <si>
    <t>.XLSX</t>
  </si>
  <si>
    <t>XLSX</t>
  </si>
  <si>
    <t>TRASLADOS</t>
  </si>
  <si>
    <t>OFICIOS, MEMORANDOS, INFORMES, DANDO TRASLADO A LAS DEPENDENCIAS Y ENTIDADES CORRESPONDIENTES.</t>
  </si>
  <si>
    <t>JEFE DE OFICINA DE CONTROL  DISCIPLINARIO INTERNO , OFICINA DE TECNOLOGIA DE LA INFORMACIÓN.</t>
  </si>
  <si>
    <t xml:space="preserve">ARCHIVO DE GESTION DE LA OFICINA DE CONTROL DISCIPLINARIO INTERNO </t>
  </si>
  <si>
    <t>.DOCX, PDF, JPG</t>
  </si>
  <si>
    <t>TRASLADO POR COMPETENCIA</t>
  </si>
  <si>
    <t>PROCESOS DISCIPLINARIOS, ORDINARIOS Y VERBALES</t>
  </si>
  <si>
    <t xml:space="preserve"> AUTOS, OFICIOS, MEMORANDOS.</t>
  </si>
  <si>
    <t>PROCESOS</t>
  </si>
  <si>
    <t>PROCESOS DISCIPLINARIOS ORDINARIOS Y VERBALES</t>
  </si>
  <si>
    <t>ACTAS DE COMITE DE FOMENTO</t>
  </si>
  <si>
    <t>CONTIENE LA INFORMACION DEL REGISTRO DE ASISTENCIA Y ACTAS DE LOS COMPROMISOS Y CONCETACIONES LLEVADAS A CABO EN LAS SIGUIENTES INSTANCIAS:
-COMITE DE FOMENTO DE LA CULTURA, LA RECREACION Y EL DEPORTE
-COMITE PRIMARIO DE LA DIRECCIÓN DE FOMENTO
-MESA SECTORIAL DE FOMENTO</t>
  </si>
  <si>
    <t xml:space="preserve">GRUPO  INTERNO DE TRABAJO SERVICIOS ADMINISTRATIVOS
OFICINA DE TECNOLOGIAS DE LA INFORMACION
</t>
  </si>
  <si>
    <t>DATACENTER SECRETARIA DE CULTURA RECREACIÓN Y DEPORTE</t>
  </si>
  <si>
    <t>.PDF
.PPT</t>
  </si>
  <si>
    <t>ACTAS</t>
  </si>
  <si>
    <t>ACTAS DE COMITÉ PRIMARIO 
ACTAS DE COMITE DE FOMENTO</t>
  </si>
  <si>
    <t>ANDRÉS LEÓN</t>
  </si>
  <si>
    <t>LILIANA MARCELA PAMPLONA ROMERO</t>
  </si>
  <si>
    <t>PARTICIPANTES PROGRAMAS FOMENTO</t>
  </si>
  <si>
    <t>INFORMACION DE LOS PARTICIPANTES EN LAS CONVOCATORIAS DE LOS PROGRAMAS DE FOMENTO SECTORIAL POR MEDIO DE LA PLATAFORMA SICON, DONDE AGREGAN SUS DATOS PERSONALES, ECONOMICOS, SEXO Y GENERO, GRUPO ETNICO Y CONTACTO</t>
  </si>
  <si>
    <t xml:space="preserve">
OFICINA DE TECNOLOGIAS DE LA INFORMACION</t>
  </si>
  <si>
    <t>INFORMACIÓN PUBLICADA</t>
  </si>
  <si>
    <t>.CVS</t>
  </si>
  <si>
    <t>CONVOCATORIAS DEL PROGRAMA DISTRITAL DE ESTIMULOS</t>
  </si>
  <si>
    <t xml:space="preserve">DOCUMENTOS RELACIONADOS CON EL PROCESO EFECTUADO DURANTE EL INICIO, EJECUCION Y CIERRE DE LAS CONVOCATORIAS PUBLICAS OFERTADAS EN EL MARCO DEL PROGRAMA DISTRITAL DE ESTIMULOS Y DE L PROGRAMA ES CULTURA LOCAL COMPONENTE B
APROBACION DE LA PÓLIZA 
ACTA DE EVALUACIÓN DE PROPUESTA(S) DE CONVOCATORIA(S) DEL JURADO
ACTO ADMINISTRATIVO (RESOLUCION) DE LA APERTURA DE LAS CONVOCATORIAS
ACTO ADMINISTRATIVO (RESOLUCION) DE SELECCION DE PROPUESTAS DE CONVOCATORIAS
ACTOS ADMINISTRATIVOS (RESOLUCIONES) MODIFICATORIOS
CERTIFICADO DE REGISTRO PRESUPUESTAL – CRP
COMUNICACIÓN INTERNA DE LA DESIGNACIÓN DE INTERVENTORIA O SUPERVISION
 COMUNICACIONES OFICIALES EXTERNAS ENVIADAS Y RECIBIDAS SOBRE INFORMACIÓN RELACIONADA CON LAS CONVOCATORIAS
  PLANILLAS RELACIONADAS CON LAS PROPUESTAS
  VERIFICACION DE REQUISITOS DE LA(S) CONVOCATORIA(S)
PLANILLA DEFINITIVA DE PROPONENTES HABILITADOS Y NO HABILITADOS Y QUE DEBEN SUBSANAR DOCUMENTACION
 PLANILLAS DE ASISTENCIA Y FORMATOS DE PREGUNTAS FRECUENTES SOBRE JORNADAS INFORMATIVAS
PLANILLAS DE INSCRIPCION DE PROPUESTAS O PROYECTOS
PROPUESTAS DE CONVOCATORIAS SELECCIONADAS
 INFORME DE ACTIVIDADES EJECUTADAS POR EL BENEFICIARIO 
 ACTA DE RECOMENDACION DE GANADORES
 PLANILLA EVALUACION PROPUESTAS
SEGUIMIENTO A LA EJECUCIÓN DE LA PROPUESTA GANADORA
AVISO MODIFICATORIO
INFORME FINAL EJECUCIÓN DE ESTIMULO
 GUIA FORMULACION CONVOCATORIAS
PREGUNTAS Y RESPUESTAS
</t>
  </si>
  <si>
    <t>.PDF
.XLSX
.PGN
.MP4</t>
  </si>
  <si>
    <t>CONVOCATORIAS DE FOMENTO AL SECTOR</t>
  </si>
  <si>
    <t>CONVOCATORIAS DE FOMENTO AL SECTOR DEL PROGRAMA DISTRITAL DE ESTIMULOS</t>
  </si>
  <si>
    <t>CONVOCATORIAS DEL PROGRAMA DISTRITAL DE APOYOS CONCERTADOS</t>
  </si>
  <si>
    <t xml:space="preserve">DOCUMENTOS RELACIONADOS CON EL PROCESO EFECTUADO DURANTE EL INICIO, EJECUCIÓN Y CIERRE DE LAS CONVOCATORIAS PUBLICAS OFERTADAS EN EL MARCO DEL PROGRAMA DISTRITAL DE APOYOS CONCERTADOS: 
- SOLICITUD DE CERTIFICADO DE DISPONIBILIDAD PRESUPUESTAL
   - ACTO ADMINISTRATIVO DE APERTURA DEL PROCESO
   - ACTA DE ENTREGA DE PROPUESTAS NO SELECCIONADAS
   - ACTA DE EVALUACION MISIONAL Y ESTRATEGICA
   - ACTA DE JORNADAS DE CONCERTACION
   - ACTO ADMINISTRATIVO (RESOLUCION) DE SELECCION
   - ACTOS ADMINISTRATIVOS (RESOLUCIONES) MODIFICATORIOS
   - CERTIFICADO DE DISPONIBILIDAD PRESUPUESTAL - CDP
   - COMUNICACIONES OFICIALES EXTERNAS ENVIADAS Y RECIBIDAS DE INFORMACIÓN RELACIONADA CON LAS CONVOCATORIAS
   - DOCUMENTOS DE VERIFICACION FINANCIERA
   - DOCUMENTOS DE VERIFICACION JURIDICA
   - DOCUMENTOS DE VERIFICACION TECNICA
   - LISTADO DE PROPONENTES HABILITADOS PARA EVALUACION
   - LISTADO DE PROPONENTES HABILITADOS, NO HABILITADOS QUE DEBEN SUBSANAR DOCUMENTACIÓN
   - PLANILLA DE DEVOLUCION DE PROYECTOS
   - FORMATO DE ELIMINACION DE DOCUMENTOS
   - PLANILLA DE VERIFICACION DE REQUISITOS DE LA(S) CONVOCATORIA(S)
   - PLANILLAS DE ASISTENCIA Y FORMATOS DE PREGUNTAS FRECUENTES SOBRE JORNADAS INFORMATIVAS
   - LISTADO DE PROYECTOS SELECCIONADOS
   - PLANILLA DE ENTREGA DE PROPUESTAS
   - ACTA DE CIERRE DE URNA
   - MANUAL GASTOS ACEPTABLES Y NO ACEPTABLES
   - FORMATO DE EVALUACION
   - ACTA DE REUNION DE MESA SECTORIAL
   - LINEAMIENTOS DE LA CONVOCATORIA DE APOYOS CONCERTADOS
   - PLAN INTEGRAL DE COMUNICACION DE LA CONVOCATORIA
   - REGISTRO DE ASISTENCIA JORNADAS INFORMATIVA
   - PROPUESTAS A LA CONVOCATORIA
   - LISTADO DE PROPUESTAS INSCRITAS 
   - MANUAL PARA LA INTERVENTORIA DE CONTRATOS SUSCRITOS EN EL MARCO DEL PROGRAM
   - PLANILLA DE EVALUACION DE LAS PROPUESTAS
</t>
  </si>
  <si>
    <t>CONVOCATORIAS DE FOMENTO AL SECTOR DEL PROGRAMA DISTRITAL DE APOYOS CONCERTADOS</t>
  </si>
  <si>
    <t>APLICATIVO SISTEMA DE INFORMACION CONVOVOCATORIAS PROGRAMAS DE FOMENTO SECTORIAL</t>
  </si>
  <si>
    <t>REGISTRO  ADMINISTRATIVO  PARA SEGUIMIENTO, MONITOREO Y MEMORIA DE LA IMPLEMENTACION DEL PROCESO SECTORIAL DE FOMENTO Y LOS PROGRAMAS QUE LO DESARROLLAN, DE ACUERDO A LOS OBJETIVOS, PROYECTOS Y METAS INSTITUCIONALES. INFORMACION PUBLICADA SOBRE LAS CONVOCATORIAS REALIZADAS POR EL SECTOR CULTURA</t>
  </si>
  <si>
    <t>OFICINA DE TECNOLOGIAS DE LA INFORMACION</t>
  </si>
  <si>
    <t>DATACENTER SECRETARIA DE CULTURA RECREACIÓN Y DEPORTE 
SISTEMA DE INFORMACION CONVOCATORIAS</t>
  </si>
  <si>
    <t>OFICINA DE TECNOLOGIAS DE LA INFORMACIO</t>
  </si>
  <si>
    <t>INGENIERO DESARROLLADOR Y ADMINISTRADOR SISTEMA DE CONVOCATORIAS</t>
  </si>
  <si>
    <t>PERSONA QUE DESARROLLA Y ADMINISTRA EL APLICATIVO DEL SISTEMA DE CONVOCATORIAS DE LOS PROGRAMAS DE FOMENTO</t>
  </si>
  <si>
    <t>BASE DE DATOS DE LOCALIDADES</t>
  </si>
  <si>
    <t>INFORMACIÓN DE LOS AGENTES CULTURALES, ORGANIZACIONES Y PROCESOS LOCALES QUE SON NECESARIOS PARA LA GESTION TERRITORIAL Y DINAMIZACIÓN DE LOS PROCESOS CULTURALES LOCALES, INFORMACIÓN DE PERSONAS NATURALES, ORGANIZACIONES, JEFES DE PRENSA DE LOS FONDOS DE DESARROLLO LOCAL, CONSEJOS LOCALES Y MEDIOS DE COMUNICACIÓN.  CONTIENE LOCALIDAD, BARRIO, UNIDAD DE PLANEAMIENTO ZONAL, NOMBRES Y APELLIDOS, DIRECCIÓN, TELEFONO, CELULAR, CAMPO EN EL QUE SE DESEMPEÑA, CORREO ELECTRONICO PERSONAL</t>
  </si>
  <si>
    <t>DIRECCIÓN DE ASUNTOS LOCALES Y PARTICIPACION</t>
  </si>
  <si>
    <t>DRIVE LIDERES DE GESTION TERRITORIAL - DIRECIÓN DE ASUNTOS LOCALES Y PARTICIPACION.</t>
  </si>
  <si>
    <t>ALEXANDRA BUITRAGO</t>
  </si>
  <si>
    <t>HUGO ALEXANDER CORTES</t>
  </si>
  <si>
    <t>BASE DE RECHAZADOS PARA ARTISTAS Y GESTORES ESTABLECIDOS EN EL DECCRETO 561 DE 2020</t>
  </si>
  <si>
    <t>BENEFICIARIOS DEL INCENTIVO PARA ARTISTAS Y GESTORES RECHAZADOS DONDE SE INCLUYE:
NOMBRES Y APELLIDOS, CEDULA, NUMEROS DE CELULAR, TIPO DE DOCUMENTO.</t>
  </si>
  <si>
    <t>DRIVE EQUIPO ADMINISTRATIVO-  DIRECCIÓN DE ASUNTOS LOCALES Y PARTICIPACION Y DATACENTER DE LA SECRETARÍA DISTRITAL DE CULTURA, RECREACIÓN Y DEPORTE</t>
  </si>
  <si>
    <t>POBLACIONALES</t>
  </si>
  <si>
    <t>BASE DE BENEFICIARIOS DE LOS INCENTIVOS ECONOMICOS PARA ARTISTAS Y GESTORES ESTABLECIDOS EN EL DECRETO 561 DE 2020</t>
  </si>
  <si>
    <t>BENEFICIARIOS DE LOS INCENTIVOS ECONOMICOS PARA ARTISTAS Y GESTORES ESTABLECIDOS EN EL DECCRETO 561 DE 2020 EN EL QUE SE INCLUYE INFORMACIÓN DETALLADA SOBRE IDENTIFICACION DE LAS PERSONAS, CARACTERIZACION Y PUNTAJES OBTENIDOS
NOMBRES Y APELLIDOS
CEDULA
NUMEROS DE CELULAR 
VALOR A PAGAR
TIPO DE DOCUMENTO 
CORREO ELECTRONICO 
ESTRATO 
FECHA DE EXPEDICIÓN DE CEDULA 
PUNTAJE DE SISBEN 
NUMERO DE CUENTA 
CIUDAD Y DEPARTAMENTO 
TIPO DE POBLACION</t>
  </si>
  <si>
    <t>MINISTERIO DE CULTURA Y DIRECCIÓN DE ASUNTOS LOCALES Y PARTICIPACION</t>
  </si>
  <si>
    <t>OFICINA DE COMUNICACIONES, DIRECCION DE ASUNTOS LOCALES Y PARTICIPACION, GRUPO INTERNO DE SERVICIOS ADMINISTRATIVOS</t>
  </si>
  <si>
    <t>PAGINA WEB SECRETARIA DISTRITAL DE CULTURA, RECREACIÓN Y DEPORTE - DRIVE EQUIPO ADMINISTRATIVO DIRECCION DE ASUNTOS LOCALES Y PARTICIPACION Y DATACENTER DE LA SECRETARÍA DISTRITAL DE CULTURA, RECREACIÓN Y DEPORTE</t>
  </si>
  <si>
    <t>XLSX-PDF</t>
  </si>
  <si>
    <t>CERTIFICADO DIGITAL</t>
  </si>
  <si>
    <t>TOKEN PARA PAGO A PROVEEDORES BENEFICIARIOS A INCENTIVO ECONOMICOS PARA ARTISTAS Y GESTORES</t>
  </si>
  <si>
    <t>FÍSICO</t>
  </si>
  <si>
    <t>DIRECCION DE ASUNTOS LOCALES Y PARTICIPACION</t>
  </si>
  <si>
    <t>ESTADISTICAS DE LA RED DISTRITAL DE BIBLIOTECAS PÚBLICAS DE BOGOTÁ - BIBLORED</t>
  </si>
  <si>
    <t>REGISTRA Y GENERA REPORTES DE TODAS LAS ACTIVIDADES INTERNAS Y EXTERNAS (FUERA DE LAS BIBLIOTECAS, COMO PARQUES, PLAZAS DE MERCADO) E INFORMACION RELEVANTE Y ACCIONES DE PROMOCIÓN LECTURA, ESCRITURA, ORALIDAD Y ACTIVIDADES CULTURALES, ADMINISTRANDO LA INFORMACIÓN BIBLIOGRÁFICA RELACIONADA A MATERIAL BIBLIOGRÁFICO, ADQUISICIÓN, PROCESAMIENTO Y USUARIOS. MANEJANDO REPOSITORIO DOCUMENTAL EN EXPEDIENTES DE ARCHIVO Y DOCUMENTOS EN SOPORTE ELECTRÓNICO O DIGITAL (UNIDADES DE ALMACENAMIENTO, ENTRE OTROS) GENERADOS POR LA ENTIDAD.
LA INFORMACIÓN DE ACTIVIDADES Y DE CONSULTAS DE LA COLECCIÓN BIBLIOGRÁFICA SE RECOLECTA EN LOS SIGUIENTES CAMPOS: BIBLIOTECA, RESPONSABLE, PLANILLA ASISTENCIA, IDENTIFICACION GENERO, FRANJA ETAREA, GRUPO POBLACIONAL, RECURSOS UTILIZADOS, DESCRIPCION ACTIVIDAD; CÓDIGO DE BARRAS, ID, TITULO, AUTOR, ISBN, FECHA CREACIÓN. FECHA PUBLICACIÓN, AUDIENCIA, CLASIFICACIÓN, CATALOGACIÓN, EDITOR, EJEMPLAR, PRECIO, BIBLIOTECA, ESTADÍSTICA, TIPO MATERIAL, ESTADO DE PROCESO, SITUACIÓN; DOCUMENTO DE IDENTIDAD, TIPO DE DOCUMENTO DE IDENTIDAD, NOMBRE, HISTÓRICO, TELÉFONO, DIRECCIÓN, LOCALIDAD, ESTADO CIVIL, ESCOLARIDAD, ESTRATO, NOMBRE CIVIL, NOMBRE IDENTITARIO; CONCESIÓN, EXTENSIÓN, NOMBRE ARCHIVO, TIPO DE ARCHIVO, DESCRIPCIÓN, FECHA CREACIÓN, IMAGEN, HORA, LINEA, TEMATICA, TIPO DE ACTIVIDAD.</t>
  </si>
  <si>
    <t>DIRECCIÓN DE LECTURA Y BIBLIOTECAS</t>
  </si>
  <si>
    <t>GRUPO INTERNO DE TRABAJO DE SERVICIOS ADMINISTRATIVOS DE LA SECRETARIA DISTRITAL DE CULTURA, RECREACION Y DEPORTE.
DIRECCIÓN DE LECTURA Y BIBLIOTECAS</t>
  </si>
  <si>
    <t>ARCHIVO CENTRAL DE GRUPO INTERNO DE TRABAJO DE SERVICIOS ADMINISTRATIVOS Y GESTIÓN DOCUMENTAL RED DISTRITAL DE BIBLIOTECAS PÚBLICAS DE BOGOTÁ - BIBLORED</t>
  </si>
  <si>
    <t>DATACENTER SECRETARIA DISTRITAL DE CULTURA, RECREACION Y DEPORTE.
DATACENTER DE LA RED DISTRITAL DE BIBLIOTECAS PÚBLICAS DE BOGOTÁ - BIBLORED</t>
  </si>
  <si>
    <t>PDF
PDF/A
DOCX
XLSX
PPT
ZIP
MP4 / WMP</t>
  </si>
  <si>
    <t>INFORMES</t>
  </si>
  <si>
    <t>INFORMES A OTROS ORGANISMOS, INFORMES A ENTES DE CONTROL Y VIGILANCIA, INFORMES DE GESTIÓN</t>
  </si>
  <si>
    <t>MARCELA RODRIGUEZ ORTIZ</t>
  </si>
  <si>
    <t>RAFAEL EDUARDO TAMAYO FRANCO</t>
  </si>
  <si>
    <t>RED DISTRITAL DE BIBLIOTECAS PÚBLICAS DE BOGOTÁ - BIBLORED</t>
  </si>
  <si>
    <t>REGISTRA LA INFORMACIÓN DE LA MISIONALIDAD, ORGANIGRAMA, ESQUEMA DE GOBERNANZA, LINEAMIENTOS ESTRATÉGICOS, LINEAMIENTOS SOBRE SERVICIOS, POLITICA DE MANEJO DE INVENTARIOS, POLÍTICA DE COLECCIONES, AREAS, FUNCIONES, ESQUEMA DE TALENTO HUMANO, GESTION ADMINISTRATIVA Y FINANCIERA, PLANES DE ACCIÓN, PLANES OPERATIVOS Y LAS ACTIVIDADES PRINCIPALES DE LA RED DISTRITAL DE BIBLIOTECAS PÚBLICAS DE BOGOTÁ - BIBLORED</t>
  </si>
  <si>
    <t>ARCHIVO CENTRAL DE GRUPO INTERNO DE TRABAJO DE SERVICIOS ADMINISTRATIVOS Y GESTIÓN DOCUMENTAL. RED DISTRITAL DE BIBLIOTECAS PÚBLICAS DE BOGOTÁ - BIBLORED</t>
  </si>
  <si>
    <t>PLANES</t>
  </si>
  <si>
    <t>PLANES DE ACCIÓN DE LA RED DISTRITAL DE BIBLIOTECAS PÚBLICAS, PLANES DE LECTURA, ESCRITURA Y ORALIDAD</t>
  </si>
  <si>
    <t>INFRAESTRUCTURA TECNOLÓGICA DE BIBLORED PARA ASEGURAR EL CORRECTO FUNCIONAMIENTO DE LOS APLICATIVOS GARANTIZANDO CREACIÓN, ALMACENAMIENTO, PRESUNCIÓN DE VERACIDAD, CADENA DE CUSTODIA E INTEGRIDAD DE LA INFORMACIÓN CONTENIDA EN REGISTROS, PRODUCTO DE LA INFORMACION RECOLECTADA</t>
  </si>
  <si>
    <t>DATACENTER DE LA RED DISTRITAL DE BIBLIOTECAS PÚBLICAS DE BOGOTÁ -  BIBLORED</t>
  </si>
  <si>
    <t>DATACENTER DE LA RED DISTRITAL DE BIBLIOTECAS PÚBLICAS DE BOGOTÁ -  BIBLORED
CLOUD</t>
  </si>
  <si>
    <t>SOFTWARE UTILIZADO POR BIBLORED PARA LA EJECUCION DE LAS ACTIVIDADES. SOFTWARE DE APLICACIÓN, INTERFACES, SOFTWARE DEL SISTEMA Y HERRAMIENTAS DE DESARROLLO</t>
  </si>
  <si>
    <t xml:space="preserve">SQL, MYSQL, POSTGRESSQL, MARIADB
</t>
  </si>
  <si>
    <t xml:space="preserve">PORTALES, INTRANET  Y MICROSITIOS  DE LA RED DISTRITAL DE BIBLIOTECAS PÚBLICAS -BIBLORED Y BIBLIOTECA DIGITAL DE BOGOTÁ </t>
  </si>
  <si>
    <t>JPG, TIF, GIF, EXR, RAF, CR2, DRF, ERF, ODT, EPUB, TXT, PDF, PDF/A, DOCX, XLSX, PPT, OGG, WMA, FLAC, WAV, AVI, ASF, MKV, MKA, MKS</t>
  </si>
  <si>
    <t>BASES DE DATOS PERSONALES DE LA RED DISTRITAL DE BIBLIOTECAS PÚBLICAS -BIBLORED  (AFILIACIONES Y SISTEMA BIBLIOGRÁFICO), QUE CONTIENEN LOS SIGUIENTES DATOS: BIBLIOTECA, RESPONSABLE, PLANILLA ASISTENCIA, IDENTIFICACION GENERO, FRANJA ETAREA, GRUPO POBLACIONAL, RECURSOS UTILIZADOS, DESCRIPCION ACTIVIDAD; CÓDIGO DE BARRAS, ID, TITULO, AUTOR, ISBN, FECHA CREACIÓN. FECHA PUBLICACIÓN, AUDIENCIA, CLASIFICACIÓN, CATALOGACIÓN, EDITOR, EJEMPLAR, PRECIO, BIBLIOTECA, ESTADÍSTICA, TIPO MATERIAL, ESTADO DE PROCESO, SITUACIÓN; DOCUMENTO DE IDENTIDAD, TIPO DE DOCUMENTO DE IDENTIDAD, NOMBRE, HISTÓRICO, TELÉFONO, DIRECCIÓN, LOCALIDAD, ESTADO CIVIL, ESCOLARIDAD, ESTRATO, NOMBRE CIVIL, NOMBRE IDENTITARIO; CONCESIÓN, EXTENSIÓN, NOMBRE ARCHIVO, TIPO DE ARCHIVO, DESCRIPCIÓN, FECHA CREACIÓN, IMAGEN, HORA, LINEA, TEMATICA, TIPO DE ACTIVIDAD.</t>
  </si>
  <si>
    <t xml:space="preserve"> CONTIENE LA INFORMACION DE LAS ACTAS DE LOS COMITÉS ADMINISTRATIVOS, MISIONALES Y DE OPERACIÓN DE LA RED DISTRITAL DE BIBLIOTECAS PÚBLICAS - BIBLORED</t>
  </si>
  <si>
    <t>PDF
PDF/A
DOCX
XLSX
PPT
ZIP</t>
  </si>
  <si>
    <t>ACTAS DE COMITE PRIMARIO, ACTAS DE CONSEJO DISTRITAL DE FOMENTO DE LA LECTURA Y LA ESCRITURA</t>
  </si>
  <si>
    <t>REDES SOCIALES</t>
  </si>
  <si>
    <t xml:space="preserve"> CONTIENE LAS REDES SOCIALES DE LA RED DISTRITAL DE BIBLIOTECA PÚBLICAS DE BOGOTA - BIBLORED, DONDE SE PUBLICA CONTENIDO INSTITUCIONAL Y SE USAN COMO MEDIO DE COMUNICACIÓN CON LA CIUDADANÍA EN DOBLE VÍA. DICHAS REDES SON: FACEBOOK, INSTAGRAM, YOUTUBE, TWITTER, LINKEDIN Y TIKTOK </t>
  </si>
  <si>
    <t>CLOUD</t>
  </si>
  <si>
    <t>JPG, PNG, MP4, MOV, MP3</t>
  </si>
  <si>
    <t>PORTAL WEB</t>
  </si>
  <si>
    <t>PORTAL DE LA ENTIDAD QUE ALMACENA INFORMACIÓN CORRESPONDIENTE A LA SECRETARÍA DISTRITAL DE CULTURA, RECREACIÓN Y DEPORTE  EN TEMAS COMO INFORMACIÓN INSTITUCIONAL (MISIÓN, VISION, TEMAS DE TRANSPARECIA, NOTICIAS, CONVOCATORIAS ENTRE OTROS</t>
  </si>
  <si>
    <t>TODAS LAS DEPENDENCIAS</t>
  </si>
  <si>
    <t>DATA CENTER SCRD Y NUBE</t>
  </si>
  <si>
    <t>FORMATOS EN JPG, PNG, PDF, EXCEL, WORD</t>
  </si>
  <si>
    <t>JOSE LUIS SANABRIA Y LUISA CEPEDA</t>
  </si>
  <si>
    <t>ANGELA MARIA CANIZALEZ HERRERA</t>
  </si>
  <si>
    <t>CULTUNET</t>
  </si>
  <si>
    <t xml:space="preserve">INTRANET DE LA ENTIDAD QUE ALMACENA INFORMACIÓN CORRESPONDIENTE A TODAS LAS DEPENDENCIAS DE LA ENTIDAD. DICHA INFORMACIÓN ESTA RELACIONADA CON LA MISIÓN VISIÓN, INFRAESTRUCTIRA DE LA ENTIDAD, ORGANIGRAMA, ADEMÁS ALOJA TODA LA INFORMACIÓN DEL MODELO INTEGRADO DE PLANEACIÓN Y GESTIÓN, MAPAS DE PROCESOS, CONTROL DE RIESGOS, DIRECTORIOS Y NOTICIAS DE ACTUALIDAD. FUNCIONA TAMBIÉN COMO UN MEDIO PARA TRANSFERIR CONCIMIENTO DE LA ENTIDAD </t>
  </si>
  <si>
    <t>FORMATOS EN JPG, PNG, PDF, EXCEL, WORD.</t>
  </si>
  <si>
    <t xml:space="preserve">ARCHIVO AUDIOVISUAL </t>
  </si>
  <si>
    <t>ARCHIVO DE IMAGEN Y VIDEO DE LAS ACTIVIDADES REALIZADAS POR LA ENTIDAD QUE DAN CUENTA DEL CUMPLIMIENTO DE SU MISIONALIDAD, COMO EVENTOS ARTÍSTICOS Y CULTURALES DE TEATRO, MÚSICA, DEPORTES  Y CULTURA CIUDADANA.</t>
  </si>
  <si>
    <t>GOOGLE DRIVE DE LA OFICINA DE COMUNICACIONES</t>
  </si>
  <si>
    <t>JPG, PNG, MP4, MOV</t>
  </si>
  <si>
    <t>JHON GAITAN, LUISA CEPEDA Y JAVIER CORBA</t>
  </si>
  <si>
    <t>ESTE ACTIVO DE INFORMACIÓN CONTIENE LAS REDES SOCIALES DE LA ENTIDAD DONDE SE PUBLICA CONTENIDO INSTITUCIONAL Y SE USAN COMO MEDIO DE COMUNICACIÓN CON LA CIUDADNÍA EN DOBLE VÍA. DICHAS REDES SON: FACEBOOK, INSTAGRAM, YOUTUBE, TWITTER Y TIKTOK</t>
  </si>
  <si>
    <t>COMUNICACIONES</t>
  </si>
  <si>
    <t xml:space="preserve">NUBE </t>
  </si>
  <si>
    <t>LEANDRO ARENAS Y LUISA CEPEDA</t>
  </si>
  <si>
    <t>PORTAL DE LA ENTIDAD QUE ALMACENA INFORMACIÓN CORRESPONDIENTE A LA SECRETARIA DISTRITAL DE CULTURA EN TEMAS COMO INFORMACION INSTITUCIONAL(MISIÓN, VISION, TEMAS DE TRANSPARECIA, NOTICIAS, CONVOCATORIAS ENTRE OTROS</t>
  </si>
  <si>
    <t>HERRAMIENTAS DE DISEÑO</t>
  </si>
  <si>
    <t xml:space="preserve">SE CUENTA CON HERRAMIENTAS QUE PERMITEN DISEÑAR Y EDITAR PIEZAS GRÁFICAS Y AUDIOVISUALES </t>
  </si>
  <si>
    <t xml:space="preserve">DISEÑADORES GRAFICOS Y REALZADORES AUDIOVISUALES </t>
  </si>
  <si>
    <t>FORMATOS EN JPG, PNG, PDF, MOV Y MP4</t>
  </si>
  <si>
    <t>JOSE LUIS SANABRIA, LUISA CEPEDA, JHON GAITAN Y JAVIER CORBA</t>
  </si>
  <si>
    <t>CONTIENE LA INFORMACION DE LAS ACTAS DEL COMITE DEL SISTEMA INTEGRADO DE GESTION Y DEL COMITE INSTITUCIONAL DE COORDINACION DE CONTROL INTERNO DEL CUAL LA OCI EJERCE LA SECRETRIA TÉCNICA</t>
  </si>
  <si>
    <t xml:space="preserve">OFICINA DE TECNOLOGIA DE LA INFORMACIÓN Y GRUPO INTERNO DE TRABAJO DE SERVICIOS ADMINISTRATIVOS </t>
  </si>
  <si>
    <t>ARCHIVO DE GESTIÓN</t>
  </si>
  <si>
    <t>DATACENTER DE LA SECRETARIA DISTRITAL DE CULTURA, RECREACION Y DEPORTE</t>
  </si>
  <si>
    <t>PDF - WORD - EXCEL - POWER POINT</t>
  </si>
  <si>
    <t>ACTAS DEL COMITÉ DEL SISTEMA INTEGRADO DE GESTION  Y ACTAS DEL COMITE INSTITUCIONAL DE COORDINACION DE CONTROL INTERNO</t>
  </si>
  <si>
    <t>WILMA ROCIO BEJARANO GAITAN</t>
  </si>
  <si>
    <t>OMAR URREA ROMERO</t>
  </si>
  <si>
    <t>CONTIENE LOS INFORMES ENVIADOS A ENTES DE CONTROL Y LOS INFORMES DE AUDITORIAS REALIZADAS POR LA OFICINA DE CONTROL INTERNO CON LOS PAPELES DE TRABAJO QUE LAS SOPORTAN.</t>
  </si>
  <si>
    <t>INFORMES A OTROS ORGANISMOS, INFORMES A ENTES DE CONTROL E INFORME DE EVALUACIÓN Y SEGUIMIENTO</t>
  </si>
  <si>
    <t>LIBRO MAYOR (LIMAY)</t>
  </si>
  <si>
    <t xml:space="preserve">APLICATIVO QUE CONSOLIDA LA INFORMACIÓN CONTABLE DE LA SCRD </t>
  </si>
  <si>
    <t>GRUPO INTERNO DE TRABAJO DE GESTIÓN FINANCIERA</t>
  </si>
  <si>
    <t>OFICINA DE  TECNOLOGIA DE LA INFORMACION</t>
  </si>
  <si>
    <t xml:space="preserve">DATA CENTER DE LA SECRETARIA DISTRITAL DE RECREACION Y DEPORTE </t>
  </si>
  <si>
    <t>.CSV</t>
  </si>
  <si>
    <t>CLAUDIA PATRICIA MORALES MORALES
MARÍA ANDREA GÓMEZ RESTREPO</t>
  </si>
  <si>
    <t>MYRIAM BARRIOS GARZÓN</t>
  </si>
  <si>
    <t>INFORMACIÓN FINANCIERA</t>
  </si>
  <si>
    <t>INFORMACION QUE SE ENCUENTRA ALMACENADA EN LOS APLICATIVOS DE LIBRO MAYOR, PAGOS Y PRESUPUESTO. CONTIENE INFORMACIÓN COMO: NOMBRE, CÉDULA, CUENTAS BANCARIAS, DIRECCIÓN, TELÉFONO, CORREO ELETRÓNICO, CUENTAS CONTABLES, CLASIFICACIÓN TRIBUTARÍA.</t>
  </si>
  <si>
    <t>PAGOS</t>
  </si>
  <si>
    <t>APLICATIVO PARA LIQUIDAR Y CAUSAR LOS PAGOS (OPGET) DE LA SECRETARÍA DE CULTURA RECREACIÓN Y DEPORTE</t>
  </si>
  <si>
    <t>CSV - TXT</t>
  </si>
  <si>
    <t>INGRID PAOLA LOZANO ARIAS</t>
  </si>
  <si>
    <t>TERCEROS</t>
  </si>
  <si>
    <t>PERSONAS NATURALES Y/O JURÍDICAS QUE TENGAN O HAYAN TENIDO RELACION CONTRACTUAL CON LA SCRD. LA INFORMACIÓN QUE CONTIENE: NOMBRE, TIPO DE IDENTIFICACIÓN Y  NÚMERO, TELEFONO DE CONTACTO, DIRECCIÓN, CORREO ELECTRÓNICO.</t>
  </si>
  <si>
    <t xml:space="preserve">OFICINA DE  TECNOLOGIA DE LA INFORMACION </t>
  </si>
  <si>
    <t>SERVIDORES SCRD</t>
  </si>
  <si>
    <t>SISTEMA DE INFORMACIÓN
FINANCIERA DE LA SCRD.</t>
  </si>
  <si>
    <t>GUILLERMO ADOLFO ROSAS VALERIANO</t>
  </si>
  <si>
    <t>ARCHIVO EN EXCEL CON DATOS PERSONALES DE CONTRATISTAS DE LA VIGENCIA 2002-2023.</t>
  </si>
  <si>
    <t>ARCHIVO EXCEL QUE CONTIENE INFORMACIÓN SOBRE LOS CONTRATOS SUSCRITOS POR LA SECRETARÍA DE CULTURA, RECREACIÓN Y DEPORTE QUE CONTIENE : 
NOMBRE DEL CONTRATISTA, TIPO Y NÚMERO IDENTIFICACIÓN CON DÍGITO DE VERIFICACIÓN, DOMICILIO, FECHA DE NACIMIENTO, EDAD, SEXO, EXPERIENCIA LABORAL Y PROFESIONAL,  IDENTIFICACIÓN, EN CASO QUE APLIQUE), SUPERVISOR (NOMBRE E IDENTIFICACIÓN)</t>
  </si>
  <si>
    <t>DIRECCIÓN DE GESTIÓN CORPORATIVA -GRUPO INTERNO DE TRABAJO DE CONTRATACIÓN</t>
  </si>
  <si>
    <t>GRUPO INTERNO DE TRABAJO DE CONTRATACIÓN</t>
  </si>
  <si>
    <t>DRIVE-ORFEO</t>
  </si>
  <si>
    <t xml:space="preserve">ANGELA PATRICIA CARRILLO QUINTERO
ANA MARIA GALINDO LARA
</t>
  </si>
  <si>
    <t>MARGARITA MARÌA RUA (E)</t>
  </si>
  <si>
    <t>ARCHIVO EXCEL QUE CONTIENE INFORMACIÓN SOBRE LOS CONTRATOS SUSCRITOS POR LA SECRETARÍA DE CULTURA, RECREACIÓN Y DEPORTE QUE CONTIENE : 
NÚMERO DE CONTRATO, TIPO DE CONTRATO,NÚMERO DE ESDOP, MODALIDAD DE SELECCIÓN, OBJETO DEL CONTRATO, NÚMERO DE PROCESO, ENLACE SECOP, FECHA DE SUSCRIPCIÓN, INICIO Y FINALIZACIÓN DEL CONTRATO, PLAZO, NÚMERO DE CDP Y CRP, VALOR DEL CONTRATO, ORDENADOR DEL GASTO, DEPENDENCIA DEL CONTRATISTA, TIPO DE GASTO (FUNCIONAMIENTO, INVERSIÓN), RUBRO, MODIFICACIONES (ADICIONES, PRÓRROGAS, OTRO SÍ, LIBERACIONES DE SALDO), FECHA DE LIQUIDACIÓN, PÓLIZAS, RUP (EN CASO QUE APLIQUE).</t>
  </si>
  <si>
    <t>CONTRATOS CONVENIOS</t>
  </si>
  <si>
    <t>ORFEO: CONTIENE LOS DOCUMENTOS PREVIOS PARA LA CELEBRACIÓN DE LOS CONTRATOS Y CONVENIOS TRAMITADOS EN DICHO SISTEMA Y LOS DOCUMENTOS SOPORTE DE LA EJECUCIÓN EN CADA UNA DE LAS VIGENCIAS.</t>
  </si>
  <si>
    <t>DIRECCIÓN DE GESTIÓN CORPORATIVA -GRUPO INTERNO DE TRABAJO DE CONTRATACIÓN, ADICIONALMENTE LAS DEPENDENCIAS CREAN EL EXPEDIENTE Y SON RESPONSABLES DEL CARGUE DE DOCUMENTOS GENERADOS DENTRO DE SUS COMPETENCIAS.</t>
  </si>
  <si>
    <t>OFICINA DE TECNOLOGÍAS DE INFORMACIÓN - GRUPO INTERNO DE TRABAJO DE GESTIÓN DE SERVICIOS ADMINISTRATIVOS</t>
  </si>
  <si>
    <t>ARCHIVO CENTRALIZADO</t>
  </si>
  <si>
    <t>DATA CENTER SCRD</t>
  </si>
  <si>
    <t>PDF XLSX JPG TIF</t>
  </si>
  <si>
    <t>CONTRATO O CONVENIO</t>
  </si>
  <si>
    <t>CONVENIO DE ASOCIACIÓN, DE COOPERACIÓN E INTERADMINISTRATIVOS. CONTRATOS DE APOYO, COMPRAVENTA, SUMINISTRO, PRESTACIÓN DE SERVICIO, DE SEGUROS.</t>
  </si>
  <si>
    <t>SISTEMA DE INFORMACIÓN DE CONTRATACIÓN</t>
  </si>
  <si>
    <t>SISTEMA DE INFORMACIÓN QUE CONTIENE LOS MÓDULOS CORRESPONDIENTES A LAS ETAPAS PRECONTRACTUAL,CONTRACTUAL Y POSTCONTRACTUAL DE LOS CONTRATOS SUSCRITOS POR LA SECRETARÍA</t>
  </si>
  <si>
    <t>OFICINA DE TECNOLOGÍAS DE INFORMACIÓN - DIRECCIÓN DE GESTIÓN CORPORATIVA -GRUPO INTERNO DE TRABAJO DE CONTRATACIÓN</t>
  </si>
  <si>
    <t>SERVIDOR DE APLICACIÓN Y SERVIDOR DE BASE DE DATOS</t>
  </si>
  <si>
    <t>BASE DE DATOS ORACLE</t>
  </si>
  <si>
    <t>SISTEMA DE INFORMACIÓN QUE CONTIENE LOS MÓDULOS CORRESPONDIENTES A LAS ETAPAS PRECONTRACTUAL,CONTRACTUAL Y POSTCONTRACTUAL DE LOS CONTRATOS SUSCRITOS POR LA SECRETARÍA (CONTRATOS: NUMERO DE CONTRATO, FECHA DE SUSCRIPCIÓN, DATOS DE LAS GARANTÍAS Y FECHA DE APROBACIÓN DE LAS MISMAS.)</t>
  </si>
  <si>
    <t>MESA DE SERVICIOS GLPI DE SERVICIOS ADMINISTRATIVOS</t>
  </si>
  <si>
    <t>APLICATIVO QUE PERMITE REGISTRAR, ORGANIZAR Y CLASIFICAR LAS SOLICITUDES REALIZADAS A LA COORDINACIÓN DE SERVICIOS ADMINISTRATIVOS RELACIONADOS CON TRANSPORTE, PARQUEADERO, PRÉSTAMO DE ESPACIOS COMUNES, AUTORIZACIÓN DE INGRESOS, PRÉSTAMO Y TRASLADO DE ELEMENTOS Y MATERIALES PARA EVENTOS, MANTENIMIENTO E INSPECCIÓN DE INFRAESTRUCTURAS DE INMUEBLES. ADEMÁS, PERMITE REALIZAR UN SEGUIMIENTO DE LA ATENCIÓN Y GESTIÓN DEL SERVICIO REQUERIDO A TRAVÉS DE UN FORMULARIO DE GOOGLE FORMS.</t>
  </si>
  <si>
    <t>GRUPO INTERNO DE TRABAJO DE GESTIÓN DE SERVICIOS ADMINISTRATIVOS</t>
  </si>
  <si>
    <t>OFICINA DE TECNOLOGIAS DE LA INFORMACION OTI</t>
  </si>
  <si>
    <t>DATA CENTER - SISTEMA GLPI MESA DE AYUDA</t>
  </si>
  <si>
    <t>XLS,PDF, ODS</t>
  </si>
  <si>
    <t>HENRY GARAY LUIS EDUARDO ARTEAGA PAOLA RAMIREZ</t>
  </si>
  <si>
    <t>PAOLA ANDREA RAMIREZ</t>
  </si>
  <si>
    <t>PRINT - STUDIO</t>
  </si>
  <si>
    <t>APLICATIVO QUE PERMITE REGISTRAR Y ELABORAR CARNETS DE IDENTIFICACIÓN PARA USO INTERNO Y EXTERNO DE FUNCIONARIOS Y CONTRATISTAS.</t>
  </si>
  <si>
    <t>MEMORIA DE APLICACIÓN, DE BASE DE DATOS APLICACIÓN.</t>
  </si>
  <si>
    <t>XLS</t>
  </si>
  <si>
    <t>LUIS EDUARDO ARTEAGA</t>
  </si>
  <si>
    <t>ORACLE - SAE - SAI</t>
  </si>
  <si>
    <t>APLICATIVO PARA EL REGISTRO, CONTROL Y GESTIÓN DE LOS BIENES MUEBLES DE LA ENTIDAD. PROPORCIONA INFORMACIÓN DETALLADA SOBRE LOS BIENES MUEBLES, INCLUYENDO DATOS COMO LA FECHA Y MODO DE ADQUISICIÓN, ASIGNACIÓN, ESTADO, DISPONIBILIDAD Y EL RESPONSABLE TANTO EN LA SECRETARÍA DE CULTURA, RECREACIÓN Y DEPORTES (SDCRD) COMO EN TERCEROS.</t>
  </si>
  <si>
    <t>GRUPO INTERNO DE TRABAJO DE GESTIÓN DE SERVICIOS ADMINISTRATIVOS - ALAMCEN E INVENTARIOS</t>
  </si>
  <si>
    <t>ALMACEN E INVENTARIOS</t>
  </si>
  <si>
    <t>DATA CENTER - SISTEMA DE GESTIÓN DOCUMENTAL- APLICATIVO ORACLE</t>
  </si>
  <si>
    <t>MEMORIA DE APLICATIVO, DE BASE DE DATOS APLICATIVO, DATA CENTER.</t>
  </si>
  <si>
    <t>GUSTAVO VASQUEZ LAURA SAMBONY</t>
  </si>
  <si>
    <t>CUENTAS DE ALMACEN</t>
  </si>
  <si>
    <t>EN LAS CUENTAS DE ALMACÉN CORRESPONDEN A LOS EXPEDIENTES CORRESPONDIENTES A LOS COMPROBANTES DE INGRESO, EGRESO, TRASLADO Y BAJAS DE BIENES. ESTAS CARPETAS CONTIENEN LA DOCUMENTACIÓN DETALLADA DE CADA TRANSACCIÓN, PROPORCIONANDO UN REGISTRO COMPLETO DE LOS MOVIMIENTOS DE LOS BIENES DENTRO DEL ALMACÉN.</t>
  </si>
  <si>
    <t>GRUPO INTERNO DE TRABAJO DE GESTION DE SERVICIOS ADMINISTRATIVOS</t>
  </si>
  <si>
    <t>DATA CENTER -SISTEMA DE GESTION DOCUMENTAL-APLICATIVO ORACLE</t>
  </si>
  <si>
    <t xml:space="preserve">CUENTAS DE ALMACEN </t>
  </si>
  <si>
    <t>TRASLADOS, EGRESOS, INGRESOS Y BAJAS</t>
  </si>
  <si>
    <t>LUIS EDUARDO ARTEAGA GUSTAVO IVAN VASQUEZ</t>
  </si>
  <si>
    <t>INVENTARIOS GENERALES DE ELEMENTOS DEVOLUTIVOS EN SERVICIO</t>
  </si>
  <si>
    <t xml:space="preserve">
REGISTRO DETALLADO DE LOS BIENES Y MATERIALES ALMACENADOS EN CADA DEPENDENCIA Y DE MANERA INDIVIDUAL. ESTOS INVENTARIOS PROPORCIONAN INFORMACIÓN CLAVE SOBRE LA CANTIDAD, UBICACIÓN, ESTADO Y VALOR DE LOS PRODUCTOS EXISTENTES EN CADA ÁREA DE LA ENTIDAD. MEDIANTE LA RECOPILACIÓN DE INFORMACIÓN SOBRE LOS INVENTARIOS GENERALES POR DEPENDENCIA E INDIVIDUALMENTE, SE LOGRA UN MAYOR NIVEL DE DETALLE Y PRECISIÓN EN EL SEGUIMIENTO DE LOS RECURSOS Y UNA MEJOR TOMA DE DECISIONES EN CUANTO A SU ADMINISTRACIÓN.</t>
  </si>
  <si>
    <t>DATA CENTER-SISTEMA DE GESTION DOCUMENTAL- APLICATIVO ORACLE</t>
  </si>
  <si>
    <t>INVENTARIOS</t>
  </si>
  <si>
    <t>BAJA</t>
  </si>
  <si>
    <t>PDF</t>
  </si>
  <si>
    <t xml:space="preserve">DOCUMENTO TECNICO DE LAS ESTRATEGIAS DE CULTURA CIUDADANA Y TRANSFORMACION CULTURAL </t>
  </si>
  <si>
    <t>CONTIENE INFORMACION DE FORMULACIÓN, DIAGNÓSTICO, OBJETIVOS Y ENFOQUE DE CADA ESTRAGEGIAS DE CULTURA CIUDADANA</t>
  </si>
  <si>
    <t>DIRECCION DE TRANSFORMACIONES CULTURALES</t>
  </si>
  <si>
    <t>SISTEMA DE GESTION DOCUMENTAL</t>
  </si>
  <si>
    <t>.PDF</t>
  </si>
  <si>
    <t>TRANSFORMACIONES CULTURALES</t>
  </si>
  <si>
    <t>HADY YIRLEY COPETE URRUTIA</t>
  </si>
  <si>
    <t>GIANCARLO CHIAPPE FERRONI</t>
  </si>
  <si>
    <t xml:space="preserve">DOCUMENTO DE BALANCE DE LAS ESTRATEGIAS DE CULTURA CIUDADANA Y TRANSFORMACION CULTURAL </t>
  </si>
  <si>
    <t>CONTIENE INFORMACION DE LOS RESULTADOS OBTENIDOS MEDIANTE LA IMPLEMENTACIÓN  DE CADA ESTRAGEGIAS DE CULTURA CIUDADANA</t>
  </si>
  <si>
    <t>ESCUELA DE HOMBRES AL CUIDADO</t>
  </si>
  <si>
    <t>SISTEMA DE SEGUIMIENTO, MONITOREO Y EVALUACION.</t>
  </si>
  <si>
    <t>.PDF Y POWER BI</t>
  </si>
  <si>
    <t xml:space="preserve">- BASES DE DATOS RECOGE LOS DATOS PERSONALES DE QUIENES ASISTEN A LAS CAPACITACIONES 
- NOMBRE
- ENTIDAD O DEPENDENCIA
- CARGO
- CORREO ELECTRONICO
- FIRMA </t>
  </si>
  <si>
    <t>CARPETA COMPARTIDA EN LA NUBE DERL LIDER DE LA ESTRATEGIA</t>
  </si>
  <si>
    <t>EXCEL</t>
  </si>
  <si>
    <t>LINEA CALMA</t>
  </si>
  <si>
    <t>BASE DE DATOS DE LOS USUARIOS QUE SE COMUNICAN CON LA "LINEA CALMA".
- NOMBRE
- C.C. 
- DIRECCION
- TELEFONO
- CORREO ELECTRONICO</t>
  </si>
  <si>
    <t>EQUIPO DE COMPUTO DEL SUPERVISOR DEL CONTRATO</t>
  </si>
  <si>
    <t>POWER BI</t>
  </si>
  <si>
    <t>BASE DE DATOS DE LOS USUARIOS QUE SE COMUNICAN CON LA "LINEA CALMA".
 - NOMBRE
- C.C. 
- DIRECCION
- TELEFONO
- CORREO ELECTRONICO</t>
  </si>
  <si>
    <t>EL CENTRO DE CONTACTO QUE PERMITE REALIZAR LA OPERACION DE LA ESTRATEGIA "LINEA CALMA", LA CUAL PROMUEVE EN LA CIUDADANIA UNA TRANSFORMACION CULTURAL DEL MACHISMO</t>
  </si>
  <si>
    <t>CENTRO DE CONTACTO</t>
  </si>
  <si>
    <t xml:space="preserve">LIDER DEL PROGRAMA CALMA </t>
  </si>
  <si>
    <t>CAPITAL HUMANO Y PROFESIONAL QUE CONOCE LOS PROCESOS TÉCNICOS Y MISIONALES, ASI COMO SU ORIENTACIÓN Y ARTICULACIÓN DE FORMA INSTITUCIONAL, SECTORIAL E INTERSECTORIAL</t>
  </si>
  <si>
    <t>RED DISTRITAL DE CULTURA CIUDADANA Y DEMOCRÁTICA</t>
  </si>
  <si>
    <t xml:space="preserve">BASE DE DATOS QUE CONTIENE LA INFORMACIÓN DE LA INSCRIPCIÓN A LA RED DISTRITAL DE CULTURA CIUDADANA. CONTIENE CARACTERIZACIÓN DE LAS AGRUPACIONES QUE VIENEN TRABAJANDO TEMAS DE CULTURA CIUDADANA EN BOGOTÁ.
CONTIENE INFORMACIÓN RELEVANTE A NIVEL SOCIODEMOGRÁFICO Y DE LAS ACTIVIDADES QUE VIENEN REALIZANDO EN TEMAS DE CULTURA CIUDADANA EN BOGOTÁ.
1. NOMBRE DE LA PERSONA NATURAL, ORGANIZACIÓN O AGRUPACIÓN
2. TIPO 
3. TIEMPO QUE LLEVA CONSTITUIDA LA ORGANIZACIÓN
4. NOMBRES Y APELLIDOS DEL (A) PERSONA NATURAL O REPRESENTANTE DE LA ORGANIZACIÓN O AGRUPACIÓN
5. NÚMERO DE CÉDULA DEL (A) PERSONA NATURAL O REPRESENTANTE DE LA ORGANIZACIÓN O AGRUPACIÓN
6. DIRECCIÓN
7. BARRIO
8. LOCALIDAD
9. TELÉFONO FIJO
10. TELÉFONO CELULAR
11. CORREO ELECTRÓNICO
12. DIRECCIÓN ELECTRÓNICA
13. RED SOCIAL
14. DIGA CUÁNTO TIEMPO DE EXPERIENCIA TIENE LA PERSONA NATURAL, ORGANIZACIÓN O AGRUPACIÓN, EJECUTANDO ACTIVIDADES RELACIONADAS CON CULTURA CIUDADANA Y TRANSFORMACIÓN CULTURAL.
15. SELECCIONE EL ÁMBITO EN EL CUAL SE DESARROLLAN PRINCIPALMENTE LAS ACTIVIDADES DE LA PERSONA NATURAL, ORGANIZACIÓN O AGRUPACIÓN (PUEDE MARCAR MÁXIMO 2 OPCIONES).
16. SELECCIONE EL PRINCIPAL TEMA QUE TRABAJA ACTUALMENTE LA PERSONA NATURAL, ORGANIZACIÓN O AGRUPACIÓN
17. EN CASO DE QUE EN UN FUTURO CERCANO LA PERSONA NATURAL, ORGANIZACIÓN O AGRUPACIÓN PLANEE TRABAJAR TEMAS NUEVOS, DIFERENTES A LOS ANTERIORMENTE SEÑALADOS, INDIQUE CUALES SERÁN ESTOS TEMAS A TRABAJAR
18. SELECCIONE LAS PRINCIPALES HERRAMIENTAS CON LAS QUE TRABAJA LA PERSONA NATURAL, ORGANIZACIÓN O AGRUPACIÓN
19. SELECCIONE LA PRINCIPAL POBLACIÓN BENEFICIARIA PARA LA CUAL TRABAJA LA PERSONA NATURAL, ORGANIZACIÓN O AGRUPACIÓN
20. ¿EN QUÉ LOCALIDAD O LOCALIDADES SE DESARROLLA (N) LAS ACTIVIDADES DE LA PERSONA NATURAL, ORGANIZACIÓN O AGRUPACIÓN PRINCIPALMENTE?
21. SELECCIONE EL ALCANCE GEOGRÁFICO ACTUAL QUE TIENEN LAS ACCIONES DE LA PERSONA NATURAL, ORGANIZACIÓN O AGRUPACIÓN PRINCIPALMENTE.
22. ¿QUÉ LE GUSTARÍA OBTENER AL HACER PARTE DE UNA RED DE CULTURA CIUDADANA?
</t>
  </si>
  <si>
    <t>DIRECCIÓN DE REDES Y ACCIÓN COLECTIVA</t>
  </si>
  <si>
    <t>ARCHIVO DIGITAL EN LA NUBE DE GOOGLE DRIVE DE LIDER DE RED DISTRITAL</t>
  </si>
  <si>
    <t>.GFORM, .GSHEET, .GDOC</t>
  </si>
  <si>
    <t>IPC</t>
  </si>
  <si>
    <t>NELSON LEIVA</t>
  </si>
  <si>
    <t>IVOONE RICO</t>
  </si>
  <si>
    <t>TOKEN PARA PAGO EN APLICATIVO SHD</t>
  </si>
  <si>
    <t xml:space="preserve">DIRECCION DE ARTE, CULTURAL Y PATRIMONIO </t>
  </si>
  <si>
    <t xml:space="preserve">LAURA PUENTES 
YENY GARZÓN </t>
  </si>
  <si>
    <t>LEONARDO GARZÓN ORTIZ</t>
  </si>
  <si>
    <t>DOCUMENTOS DE INSTACIAS DE LAS SIGUIENTES INSTACIAS DE PARTICIPACIÓN: CONSEJO DISTRITAL DE INFRAESTRUCTURA CULTURAL</t>
  </si>
  <si>
    <t>ESTE ACTIVO DE INFORMACIÓN CONTIENE: ACTAS, INFORME Y DOCUMENTOS TÉCNICOS DEL CONSEJO DISTRITAL DE INFRAESTRUCTURA CULTURAL</t>
  </si>
  <si>
    <t>GESTIÓN DOCUMENTAL 
OFICINA DE TECNOLOGÍAS DE LA INFORMACIÓN</t>
  </si>
  <si>
    <t>DATA CENTER DE LA SECRETARÍA DE CULTURA DE RECREACIÓN Y DEPORTE</t>
  </si>
  <si>
    <t>ACTAS DEL CONSEJO DISTRITAL DE INFRAESTRUCTURA CULTURAL</t>
  </si>
  <si>
    <t>DOCUMENTOS PARA LA PROTECCIÓN Y CONSERVACIÓN A LOS BIENES DE INTERÉS CULTURAL (PROCEDIMIENTO POLICIVO Y SANCIONATORIO)</t>
  </si>
  <si>
    <t xml:space="preserve">ESTE ACTIVO CONTIENE :  - ACTAS DE VISITA
- INFORMES TÉCNICOS    
- RESOLUCIONES EXPEDIDAS POR LA SECRETARÍA CULTURA RECREACIÓN Y DEPORTE 
- LISTADOS DE TODOS LOS BIENES CULTURALES DE LA CIUDAD
- VIDEOS DE AUDIENCIAS PÚBLICAS 
- REGISTRO FOTOGRÁFICO
- PLANIMETRÍA 
</t>
  </si>
  <si>
    <t xml:space="preserve">GESTIÓN DOCUMENTAL 
OFICINA DE TECNOLOGÍAS DE LA INFORMACIÓN  </t>
  </si>
  <si>
    <t xml:space="preserve">ARCHIVO CENTRAL </t>
  </si>
  <si>
    <t xml:space="preserve">DATA CENTER DE LA SECRETARÍA DE CULTURA RECREACIÓN Y DEPORTE </t>
  </si>
  <si>
    <t>.XLS, .PDF, .MP4</t>
  </si>
  <si>
    <t>DECLARATORIA DE BIENES DE INTERÉS CULTURAL</t>
  </si>
  <si>
    <t xml:space="preserve">N/A </t>
  </si>
  <si>
    <t xml:space="preserve">ARIEL FERNÁNDEZ BACA 
YENY GARZÓN
</t>
  </si>
  <si>
    <t xml:space="preserve">MAURIZIO TOSCANO </t>
  </si>
  <si>
    <t>BASE DE DATOS PARA LA PROTECCIÓN Y CONSERVACIÓN A LOS BIENES DE INTERÉS CULTURAL (PROCEDIMIENTO POLICIVO Y SANCIONATORIO)</t>
  </si>
  <si>
    <t xml:space="preserve">BASE DATOS QUE CONTIENEN INFORMACIÓN SOBRE: 
DIRECCIÓN
NÚMERO DE CHIP
EXPEDIENTE
DOCUMENTOS DE BASE
TELÉFONO 
CORREO
DATOS PERSONALES 
</t>
  </si>
  <si>
    <t>CARPETA DRIVE DE LA SUBDIRECCIÓN DE INFRAESTRUCTURA Y PATRIMONIO CULTURAL</t>
  </si>
  <si>
    <t>.XLS,</t>
  </si>
  <si>
    <t xml:space="preserve">BASE DE DATOS TRAMITES - SISTEMA DISTRITAL  DE PATRIMONIO CULTURAL </t>
  </si>
  <si>
    <t>BASE DE DATOS QUE CONTINE: 
INFORMACIÓN DEL DECRETO 070 DE 2015 TAL COMO:
FECHA DE RADICADO
TIPO DE SOLICITUD 
COMUNICACIONES DE ENTRADA Y SALIDA DE CADA UNO DE LOS TRÁMTES 
INFORMACIÓN SOBRE LAS RESOLUCIONES SISTEMA DISTRITAL DE PATRIMONIO CULTURAL:- NUMERO DE RESOLUCIÓN 
- DATOS INMUEBLE
- DECISIÓN ADOPTADA</t>
  </si>
  <si>
    <t>LILIANA RUIZ 
YENY GARZÓN</t>
  </si>
  <si>
    <t>SECCIÓN FORTALECIMIENTO DE LA INFRAESCTURA CULTURAL DE LA PÁGINA WEB SECRETARÍA DE CULTURA, RECREACIÓN Y DEPORTE</t>
  </si>
  <si>
    <t xml:space="preserve">SECCIÓN DE LA PÁGINA WEB DE LA SECRETARÍA DE CULTURA, RECREACIÓN DEPORTE/ FORTALECIMINETO DE LA INFRAESTRUCTURA CULTURAL QUE CONTIENE INFORMACIÓN SOBRE: - LAS ACTAS DE LAS SESIONES DE REUNIÓN DEL COMITÉ DE LA CONTRIBUCIÓN PARAFISCAL CULTURAL
- BANCO DE PROYECTOS (METODOLOGÍA, ANEXOS Y FORMATOS GUÍA).
- LA CONVOCATORIA (REQUISITOS, CRONOGRAMA, ALCANCE, ANEXOS). 
</t>
  </si>
  <si>
    <t xml:space="preserve">SUBDIRECCIÓN DE INFRAESTRUCTURA Y PATRIMONIO CULTURAL
OFICINA DE TECNOLOGÍAS DE LA COMUNICACIÓN
OFICINA ASESORA DE COMUNICACIONES </t>
  </si>
  <si>
    <t xml:space="preserve">DATA CENTER DE LA SECRETARÍA DE CULTURA RECREACIÓN Y DEPORTE
https://www.culturarecreacionydeporte.gov.co/es/arte-cultura-y-patrimonio/fortalecimiento-infraestructura-cultural/banco-de-proyectos-i-2023 </t>
  </si>
  <si>
    <t>.PDF, XLS, .DOCX</t>
  </si>
  <si>
    <t>JASSON VANEGAS 
YENY GARZÓN</t>
  </si>
  <si>
    <t xml:space="preserve">BASE DE DATOS DE PROYECTOS PRESENTADOS EN CONVOCATORIA LEY DEL ESPECTACULO PÚBLICO </t>
  </si>
  <si>
    <t>BASE DE DATOS DE PROYECTOS PRESENTADOS A LA CONVOCATORIA LEY DEL ESPECTÁCULO PÚBLICO A TRAVÉS DEL APLICATIVO SICON
ESTE ACTIVO DE INFORMACIÓN CONTIENE EL NOMBRE DE LA ORGANIZACIÓN, NOMBRE DEL REPRESNETANTE LEGAL, NIT, CÉDULA ,NOMBRE DEL PROYECTO, ESPECIFICACIONES TÉCNICAS, PRESUPUESTO PRESENTADO EN LA CONVOCATORIA</t>
  </si>
  <si>
    <t xml:space="preserve">DATA CENTER DE LA SECRETARÍA DE CULTURA RECREACIÓN Y DEPORTE
</t>
  </si>
  <si>
    <t>DOCUMENTOS PROYECTOS DE INFRAESTRUCTURA CULTURAL</t>
  </si>
  <si>
    <t>ESTE ACTIVO ESTÁ CONFORMADO POR:  ACTAS DEL COMITÉ DE LA CONTRIBUCIÓN PARAFISCAL  EN LAS QUE SE REGISTRAN LOS RECURSOS ASIGNADOS PARA LA CONVOCATORIA LEY DEL ESPECTÁCULO PÚBLICO  Y LOS BENEFICIARIOS DE LAS CONVOCATORIAS, INFORMES DE EJECUCIÓN DE LOS PROYECTOS BENEFICIARIOS, CONTRATOS, CONVENIOS, CONCEPTOS TÉCNICOS, ESTUDIOS Y DISEÑOS, PLANES DE GESTIÓN SOCIAL, MODELOS DE GESTIÓN Y OPERACIÓN, INFORMES DE EJECUCIÓN DE LOS PROYECTOS DE INFRAESTRUCTURA CULTURAL, CONTRATOS, CONVENIOS, CONCEPTOS TÉCNICOS, ACTAS DE SEGUIMIENTO</t>
  </si>
  <si>
    <t xml:space="preserve">SUBDIRECCIÓN DE INFRAESTRUCTURA Y PATRIMONIO CULTURAL
GESTIÓN DOCUMENTAL 
OFICINA DE TECNOLOGÍAS DE LA COMUNICACIÓN </t>
  </si>
  <si>
    <t xml:space="preserve">DATA CENTER DE LA SECRETARÍA DE CULTURA RECREACIÓN Y DEPORTE
CARPETA DRIVE DE LA SUBDIRECCIÓN DE INFRAESTRUCTURA Y PATRIMONIO CULTURAL
</t>
  </si>
  <si>
    <t>ADMINISTRACIÓN DE RECURSOS DE ESPECTÁCULOS PÚBLICOS DE LAS ARTES ESCÉNICAS
PROYECTOS</t>
  </si>
  <si>
    <t>ADMINISTRACIÓN DE RECURSOS DE ESPECTÁCULOS PÚBLICOS DE LAS ARTES ESCÉNICAS EN ESCÉNICAS DE CARÁCTER PÚBLICO
ADMINISTRACIÓN DE RECURSOS DE ESPECTÁCULOS PÚBLICOS DE LAS ARTES ESCÉNICAS EN ESCÉNICAS DE CARÁCTER PRIVADO O MIXTO</t>
  </si>
  <si>
    <t>PAOLA GAITÁN MARTÍNEZ 
YENY GARZÓN</t>
  </si>
  <si>
    <t>TOKEN</t>
  </si>
  <si>
    <t>DISPOSITIVO DE SEGURIDAD POR MEDIO DEL CUAL SE GENERA UN SERVICIO DE AUTENTICACIÓN</t>
  </si>
  <si>
    <t>BASE DE DATOS DE CONTACTOS DE LAS MESAS LOCALES DE GRAFITI Y/O DEL REPRESENTANTE</t>
  </si>
  <si>
    <t>ESTE ACTIVO DE INFORMACIÓN CONTIENE  DATOS DE CONTACTO DE LAS MESAS LOCALES DE GRAFITI Y/O DEL REPRESENTANTE TALES COMO: NOMBRE Y EMAIL</t>
  </si>
  <si>
    <t>SUBDIRECCIÓN DE GESTIÓN CULTURAL Y ARTÍSTICA</t>
  </si>
  <si>
    <t xml:space="preserve">CARPETA COMPARTIDA  EN UN DRIVE DE  DE LA SUBDIRECCIÓN DE GESTIÓN CULTURAL Y ARTÍSTICA </t>
  </si>
  <si>
    <t>.XLS</t>
  </si>
  <si>
    <t>PROCESOS DE PROMOCIÓN PARA LA PRÁCTICA RESPONSABLE DEL GRAFITI</t>
  </si>
  <si>
    <t xml:space="preserve">DIANA MUÑOZ 
DANIELA SANTOS 
YENY GARZÓN GODOY </t>
  </si>
  <si>
    <t>YOLANDA LÓPEZ CORREAL</t>
  </si>
  <si>
    <t>PÁGINA WEB BOGOTÁ DISTRITO GRAFITI</t>
  </si>
  <si>
    <t xml:space="preserve">PÁGINA WEB  QUE CONTIENE LA MEMORIA DE LAS INTERVENCIONES REALIZADAS EN EL MARCO DE LA ESTRATÉGIA DE ARTE URBANO RESPONSABLE </t>
  </si>
  <si>
    <t xml:space="preserve">OFICINA ASESORA DE COMUNICACIONES 
OFICINA DE TECNOLOGÍAS DE LA INFORMACIÓN </t>
  </si>
  <si>
    <t>DATA CENTER SECRETARÍA DE CULTURA, RECREACIÓN Y DEPORTE
https://www.bogotadistritografiti.gov.co/</t>
  </si>
  <si>
    <t xml:space="preserve">.JPG, .PNG, .PDF, .TIFF, . MP4, </t>
  </si>
  <si>
    <t xml:space="preserve">DIANA MUÑOZ
DIANA PALACIO
DANIELA SANTOS 
YENY GARZÓN GODOY  </t>
  </si>
  <si>
    <t xml:space="preserve">DOCUMENTOS DE INSCRIPCIÓN A LA OFERTA DE FORMACIÓN TITULADA Y COMPLEMENTARIA CONVENIO SENA - SCRD 
</t>
  </si>
  <si>
    <t xml:space="preserve">ESTE ACTIVO DE INFORMACIÓN CONTIENE LOS SIGUIENTES TIPOS DE DOCUMENTOS:
- CERTIFICADOS DE ESTUDIO - FOTOCOPIA DEL DOCUMENTO DE IDENTIDAD  - DECLARACIÓN JURAMENTADA DE TRATAMIENTO DE DATOS DEL MENOR (SI APLICA) 
- CERTIFICADO DE RESULTADOS ICFES 
-COPIA AFILIACIÓN AL SISTEMA DE SALUD
</t>
  </si>
  <si>
    <t xml:space="preserve">SUBDIRECCIÓN DE GESTIÓN CULTURAL Y ARTÍSTICA
</t>
  </si>
  <si>
    <t xml:space="preserve">	PROCESOS DE INSCRIPCIÓN A OFERTA DE FORMACIÓN ARTÍSTICA Y CULTURAL TITULADA</t>
  </si>
  <si>
    <t xml:space="preserve">JOHN PARDO 
YENY GARZÓN GODOY </t>
  </si>
  <si>
    <t>DOCUMENTOS DEL PROCESO DE CERTIFICACIÓN NO SUJECIÓN AL IMPUESTO UNIFICADO DE POBRES, AZAR Y ESPECTÁCULOS</t>
  </si>
  <si>
    <t>ESTE ACTIVO DE INFORMACIÓN CONTIENE LOS SIGUIENTES TIPOS DE DOCUMENTOS:
- ACUERDO DE PAGO
- ACTA DE ENTREGA DE BOLETERÍA SUSCRITA POR EL REVISOR FISCAL
- REPORTE A HACIENDA POR PARTE DE LA SECRETARÍA DE CULTURA, RECREACIÓN Y DEPORTE</t>
  </si>
  <si>
    <t>SUBDIRECCIÓN DE GESTIÓN CULTURAL Y ARTÍSTICA
GESTIÓN DOCUMENTAL. OFICINA DE TECNOLOGÍAS DE LA INFORMACIÓN</t>
  </si>
  <si>
    <t>DATA CENTER SECRETARÍA DE CULTURA, RECREACIÓN Y DEPORTE</t>
  </si>
  <si>
    <t>.PDF .XLS .CVS</t>
  </si>
  <si>
    <t>PROCESOS DE CERTIFICACIÓN DE NO SUJECIÓN AL IMPUESTO UNIFICADO DE FONDO DE POBRES, AZAR Y ESPECTÁCULOS</t>
  </si>
  <si>
    <t xml:space="preserve">DIANA PALACIO VÁSQUEZ 
LÍA CABARCAS 
YENY GARZÓN </t>
  </si>
  <si>
    <t>DOCUMENTOS ACUERDO 897 DE 2023 EXENCIÓN DEL IMPUESTO PREDIAL UNIFICADO PARA TEATROS Y MUSEOS</t>
  </si>
  <si>
    <t xml:space="preserve">ESTE ACTIVO DE INFORMACIÓN CONTIENE LOS SIGUIENTES TIPOS DE DOCUMENTOS:
- RESOLUCIÓN DE HACIENDA
- CERTIFICADO DE TRADICIÓN Y LIBERTAD 
-  REPORTE A HACIENDA POR PARTE DE LA SECRETARÍA DE CULTURA, RECREACIÓN Y DEPORTE
- ESTATUS DE LA ENTIDAD
- ESTATUS DE CONFORMACIÓN LEGAL 
- REPORTE </t>
  </si>
  <si>
    <t>SISTEMA DE GESTIÓN DOCUMENTAL DE LA ENTIDAD</t>
  </si>
  <si>
    <t>PROCESOS DE EXENCIÓN EN EL IMPUESTO PREDIAL UNIFICADO SOBRE ESPACIOS CULTURALES</t>
  </si>
  <si>
    <t>BASE DE DATOS DE INSCRIPCIÓN DE USUARIOS DE PLATAFORMA DE FORMACIÓN VIRTUAL EN ARTE, CULTURA  Y PATRIMONIO</t>
  </si>
  <si>
    <t>ESTE ACTIVO DE INFORMACIÓN CONTIENE LOS SIGUIENTES TIPOS DE DATOS PERSONALES DE LOS USUARIOS: - CORREO ELECTRÓNICO PERSONAL 
- TELÉFONO
- LOCALIDAD DONDE VIVE
- GÉNERO
- GRUPO POBLACIONAL
- ORIENTACIÓN SEXUAL
- ESTRATO SOCIOECONÓMICO
- GRUPO ETARIO
- DISCAPACIDAD
- TIPOS DE DISCAPACIDAD
- FORMACIÓN ACADÉMICA</t>
  </si>
  <si>
    <t>PROGRAMAS</t>
  </si>
  <si>
    <t>PROGRAMAS DE CONTENIDOS PARA CURSOS</t>
  </si>
  <si>
    <t xml:space="preserve">GERMÁN SALGADO 
JOHN PARDO 
YENY GARZON </t>
  </si>
  <si>
    <t>PLATAFORMA DE FORMACIÓN VIRTUAL EN ARTE, CULTURA  Y PATRIMONIO</t>
  </si>
  <si>
    <t>ESTE ACTIVO DE INFORMACIÓN CONTIENE:
- MÓDULOS DE LOS CURSOS O DIPLOMADOS SOBRE ARTE, CULTURA Y PATRIMONIO OFERTADOS POR LA SCRD.</t>
  </si>
  <si>
    <t xml:space="preserve">.PDF, .XLSX,  .JPG,  .PNG,  .MP4, .AVI, JAVA SCRIPT, HTML5 </t>
  </si>
  <si>
    <t>ADMINISTRADOR DE LA PLATAFORMA DE FORMACIÓN VIRTUAL EN ARTE, CULTURA  Y PATRIMONIO</t>
  </si>
  <si>
    <t>PERSONA ENCARGADA DE GARANTIZAR EL ADECUADO FUNCIONAMIENTO DE LA PLATAFORMA.</t>
  </si>
  <si>
    <t>PLATAFORMA BENEFICIO ARTISTA MAYOR</t>
  </si>
  <si>
    <t>PLATAFORMA PARA APLICACIÓN A LOS BENEFICIOS ECONÓMICOS PERIÓDICOS BEPS (DECRETO 2012 DE 2017). EN ESTA PLATAFORMA EL CIUDADANO PUEDE CREAR UN USUARIO Y COLOCAR SUS DATOS PERSONALES, SUBIR ARCHIVOS PDF RELACIONADOS CON LOS REQUISITOS PARA APLICAR AL PROGRAMA. LA PLATAFORMA DEBE FUNCIONAR TODO EL TIEMPO.</t>
  </si>
  <si>
    <t>DATACENTER SCRD</t>
  </si>
  <si>
    <t>.CSV, .PDF</t>
  </si>
  <si>
    <t>MARÍA ALEJANDRA DUEÑAS SÁNCHEZ 
MYRIAM STELLA GARCIA CORREDOR 
YENY GARZÓN GODOY</t>
  </si>
  <si>
    <t>BASE DE DATOS DE LA PLATAFORMA BENEFICIO ARTISTA MAYOR</t>
  </si>
  <si>
    <t>LOS DATOS PERSONALES DE LOS ARTISTAS Y GESTORES CULTURALES QUE APLICAN AL PROGRAMA SON: NOMBRE, CÉDULA, FECHA DE NACIMIENTO, DIRECCIÓN, ESTRATO, GRUPOS ÉTNICOS, INFORMACIÓN SOBRE GÉNERO, SI TIENE CONDICIÓN DE DISCAPACIDAD, SI PERTENECE A UN SECTOR ESPECÍFICO (EJEMPLO: VÍCTIMAS DE CONFLICTO ARMADO, COMUNIDAD LGBTI, ETC). ADICIONALMENTE SOPORTES EN ARCHIVO PDF SOBRE SU TRAYECTORIA ARTÍSTICA Y OTROS QUE PIDE LA NORMA PARA INGRESAR AL PROGRMA BEPS. TODOS ESTOS SE ENCUENTRAN ALMACENADOS EN LA PLATAFORMA.</t>
  </si>
  <si>
    <t>.CSV, .XLS</t>
  </si>
  <si>
    <t>PÁGINA WEB PLATAFORMA BENEFICIO ARTISTA MAYOR</t>
  </si>
  <si>
    <t xml:space="preserve">PÁGINA WEB  MEDIO DE DIFUSIÓN DE REQUISITOS, NORMATIVA, RESOLUCIONES, VIDEOTUTORIALES, INFORMACIÓN GENERAL SOBRE EL PROCESO DE INSCRIPCIÓN, Y ACCESO A LA PLATAFORMA BENEDICIO ARTISTA MAYOR ETC., PARA QUE LOS ARTISTAS Y GESTORES CULTURALES PUEDAN APLICAR AL PROGRAMA BEPS EN LA CIUDAD DE BOGOTÁ. </t>
  </si>
  <si>
    <t>DATA CENTER SECRETARÍA DE CULTURA, RECREACIÓN Y DEPORTE
https://beneficioartistamayor.scrd.gov.co/</t>
  </si>
  <si>
    <t xml:space="preserve">YUCELLY ASCENCIO
YENY GARZÓN </t>
  </si>
  <si>
    <t xml:space="preserve">DOCUMENTOS DE VENTANILLA ÚNICA DE IMPLANTACIONES ARTÍSTICAS EN EL ESPACIO PÚBLICO (VIARTE), ARTE URBANO RESPONSABLE, REGULACIÓN ACTIVIDADES ARTÍSTICAS EN EL ESPACIO PÚBLICO 
</t>
  </si>
  <si>
    <t>ESTE ACTIVO DE INFORMACIÓN CONTIENE: ACTAS, INFORME Y DOCUMENTOS TÉCNICOS</t>
  </si>
  <si>
    <t xml:space="preserve">PROCESOS
INFORMES </t>
  </si>
  <si>
    <t>PROCESOS DE PROMOCIÓN PARA LA PRÁCTICA RESPONSABLE DEL GRAFITI
PROCESOS DE REGULACIÓN Y SEGUIMIENTO DE ACTIVIDAD ARTÍSTICA EN EL ESPACIO PÚBLICO - VIARTE
INFORMES DE VENTANILLA ÚNICA DE IMPLANTACIONES ARTÍSTICAS EN EL ESPACIO PÚBLICO</t>
  </si>
  <si>
    <t xml:space="preserve">DANIELA SANTOS 
YENY GARZÓN </t>
  </si>
  <si>
    <t>DOCUMENTOS DE INSTACIAS DE LAS SIGUIENTES INSTACIAS DE PARTICIPACIÓN: 
- COMISIÓN INTERSECTORIAL DEL SISTEMA DISTRITAL DE FORMACIÓN ARTÍSTICA Y CULTURAL - SIDFAC
- UNIDAD TÉCNICA DE APOYO UTA DE LA COMISIÓN INTERSECTORIAL DEL SISTEMA DISTRITAL DE FORMACIÓN ARTÍSTICA Y CULTURAL - SIDFAC
- COMITÉ DISTRITAL DEL ESPACIO PÚBLICO DE BOGOTÁ.
- COMITÉ DISTRITAL DE LA FIESTA DE BOGOTÁ</t>
  </si>
  <si>
    <t>ACTAS DE COMITE PRIMARIO
ACTAS DEL COMITÉ DISTRITAL FIESTA DE BOGOTÁ, D.
ACTAS DEL COMITÉ DISTRITAL DE ESPACIO PÚBLICO DE BOGOTÁ, D.C.
ACTAS DE LA COMISIÓN INTERSECTORIAL DEL SISTEMA DISTRITAL DE FORMACIÓN ARTÍSTICA Y CULTURAL SIDFAC
ACTAS DE LA UNIDAD TÉCNICA DE APOYO</t>
  </si>
  <si>
    <t xml:space="preserve">YENY GARZÓN </t>
  </si>
  <si>
    <t>ESTE ACTIVO DE INFORMACIÓN CONTIENE LAS ACTAS DE COMITÉ DE CONCILIACIÓN (ACTAS Y DOCUMENTOS ANEXOS: FICHAS) Y LAS ACTAS DE COMITÉ DE CARTERA (ACTAS Y DOCUMENTOS ANEXOS: FICHAS E INFORMES)</t>
  </si>
  <si>
    <t>OFICINA DE TECNOLOGÍA DE LA INFORMACIÓN Y GRUPO DE GESTIÓN DOCUMENTAL</t>
  </si>
  <si>
    <t>N.A.</t>
  </si>
  <si>
    <t>SISTEMA DE GESTIÓN DOCUMENTAL - DATACENTER SECRETARÍA DISTRITAL DE CULTURA, RECREACIÓN DEPORTE</t>
  </si>
  <si>
    <t>.DOC, .XLS, .PPT, .PDF</t>
  </si>
  <si>
    <t>ACTAS DE COMITÉ DE CONCILIACIÓN 
ACTAS DE COMITÉ DE CARTERA</t>
  </si>
  <si>
    <t>LUZ ANGELA CARDOSO BRAVO
MARTHA REYES CASTILLO</t>
  </si>
  <si>
    <t>MARÍA MARGARITA RÚA ATEHORTÚA</t>
  </si>
  <si>
    <t>ESTE ACTIVO DE INFORMACIÓN CONTIENE LAS ACTAS DE COMITÉ  INTERSECTORIAL DE COORDINACIÓN JURÍDICA (LINEAMIENTOS JURÍDICOS SECTORIALES ACTAS Y DOCUMENTOS ANEXOS: DOCUMENTOS DE TRABAJO) Y DEL ÓRGANO DE CUMPLIMIENTO NORMATIVO (ACTAS Y DOCUMENTOS DE TRABAJO)</t>
  </si>
  <si>
    <t>SISTEMA DE GESTIÓN DOCUMENTAL - DATACENTER SECRETARÍA DISTRITAL DE CULTURA, RECREACIÓN Y DEPORTE
PÁGINA WEB</t>
  </si>
  <si>
    <t>ACTAS COMITÉ INTERSECTORIAL DE COORDINACIÓN JURÍDICA 
ACTAS ÓRGANO DE CUMPLIMIENTO NORMATIVO</t>
  </si>
  <si>
    <t>MARTHA REYES CASTILLO</t>
  </si>
  <si>
    <t>CONCEPTOS JURÍDICOS</t>
  </si>
  <si>
    <t>ESTE ACTIVO DE INFORMACIÓN CONTIENE LOS ELEMENTOS Y ASPECTOS JURÍDICOS PARA LA TOMA DE DECISIONES EN CUANTO A LAS CONSULTAS REALIZADAS A LA OFICINA JURÍDICA DE LA SECRETARÍA DISTRITAL DE CULTURA, RECREACIÓN Y DEPORTE, ASÍ COMO LA VIABILIDAD JURÍDICA A LOS PROYECTOS NORMATIVOS (DECRETOS, ACUERDOS Y LEYES).</t>
  </si>
  <si>
    <t>N..A.</t>
  </si>
  <si>
    <t>CONCEPTOS   
PROYECTOS</t>
  </si>
  <si>
    <t>CONCEPTOS JURÍDICOS 
PROYECTOS DE LEY
PROYECTOS DE DECRETO
PROYECTOS DE ACUERDO</t>
  </si>
  <si>
    <t>DEFENSA JUDICIAL Y EXTRAJUDICIAL</t>
  </si>
  <si>
    <t>ESTE ACTIVO DE INFORMACIÓN CONTIENE: I) CONCILIACIONES PREJUDICIALES, II) PROCESOS Y III) ACCIONES CONSTITUCIONALES. DOCUMENTOS SOPORTE DE TRABAJO RELACIONADOS CON LOS PROCESOS (ACTAS, FICHAS) E INFORMES</t>
  </si>
  <si>
    <t>CONCILIACIONES PREJUDICIALES, II) PROCESOS Y III) ACCIONES CONSTITUCIONALES</t>
  </si>
  <si>
    <t>CONCILIACIONES PREJUDICIALES
PROCESOS JUDICIALES CONTENCIOSOS ADMINISTRATIVOS DE NULIDAD
PROCESOS CONTENCIOSOS ADMINISTRATIVOS DE NULIDAD Y RESTABLECIMIENTO DEL DERECHO
PROCESOS CONTENCIOSOS ADMINISTRATIVOS DE REPARACIÓN DIRECTA
PROCESOS CONTENCIOSOS ADMINISTRATIVOS CONTRACTUALES
PROCESOS CONTENCIOSOS ADMINISTRATIVOS DE REPETICIÓN
PROCESOS CIVILES
PROCESOS PENALES
PROCESOS LABORALES
PROCESOS ADMINISTRATIVOS SANCIONATORIOS
ACCIONES DE GRUPO
ACCIONES DE TUTELA
ACCIONES POPULARES</t>
  </si>
  <si>
    <t>LUZ ANGELA CARDOSO BRAVO</t>
  </si>
  <si>
    <t>ESTE ACTIVO DE INFORMACIÓN CONTIENE: I) INFORMES A CIUDADANOS Y RESPUESTAS OTRAS ENTIDADES RELACIONADAS CON LA FUNCIÓN JURÍDICA DE LA ENTIDAD (DOCUMENTOS ANEXOS: DOCUMENTOS DE TRABAJO) II) INFORMES DE AGENDA REGULATORIA Y PARTICIPACIÓN CIUDADANA EN LEGALBOG (DOCUMENTOS ANEXOS: DOCUMENTOS DE TRABAJO) III) INFORMES COMITÉ DE CARTERA Y IV) IMPLEMENTACIÓN DEL MODELO DE GESTIÓN JURÍDICA ANTICORRUPCIÓN</t>
  </si>
  <si>
    <t xml:space="preserve">APLICATIVO DJANGO </t>
  </si>
  <si>
    <t xml:space="preserve">APLICATIVO UTILIZADO PARA EL REGISTRO DE INFORMACIÒN DE LOS ORGANISMOS VINCULADOS AL SISTEMA NACIONAL DEL DEPORTE Y DE LAS LAS ESAL SUJETAS A INSPECCION, VIGILANCIA Y CONTROL </t>
  </si>
  <si>
    <t>DIRECCION DE PERSONAS JURIDICAS</t>
  </si>
  <si>
    <t xml:space="preserve">DATACENTER SECRETARIA DE CULTURA RECREACION Y DEPORTE </t>
  </si>
  <si>
    <t>SQL, ORACLE, PYTON</t>
  </si>
  <si>
    <t>LILIAN MARCELA LOPEZ TORRES / JUAN MANUEL POVEDA MUÑOZ</t>
  </si>
  <si>
    <t>JUAN MANUEL VARGAS AYALA</t>
  </si>
  <si>
    <t>EXPEDIENTES ADMINISTRATIVOS DE LOS ORGANISMOS DEPORTIVOS VINCULADOS AL SISTEMA NACIONAL DEL DEPORTE</t>
  </si>
  <si>
    <t>INCLUYE LOS EXPEDIENTES DE LOS DOCUMENTOS DE ENTRADA Y SALIDA DE TRÁMITES Y SOLICITUDES REALIZADAS POR LAS ENTIDADES QUE CONFORMAN PARTE DEL SISTEMA NACIONAL DEL DEPORTE Y CUYA FUNCIÓN DE REGISTRO SE ENCUENTRA EN LA SECRETARÍA DE CULTURA, RECREACIÓN Y DEPORTE.</t>
  </si>
  <si>
    <t>OFICINA DE TECNOLOGIAS DE LA INFORMACION, GESTION DOCUMENTAL</t>
  </si>
  <si>
    <t>ARCHIVO LOCAL CENTRALIZADO</t>
  </si>
  <si>
    <t>PERSONAS JURIDICAS</t>
  </si>
  <si>
    <t>EXPEDIENTES ADMINISTRATIVOS DE LAS ENTIDADES SIN ANIMO DE LUCRO CON FINES CULTURALES, RECREATIVOS Y/O DEPORTIVOS</t>
  </si>
  <si>
    <t>INCLUYE LOS EXPEDIENTES DE LOS DOCUMENTOS DE ENTRADA Y SALIDA DE TRÁMITES Y SOLICITUDES REALIZADAS POR LAS ENTIDADES SIN ÁNIMO DE LUCRO CON FINES CULTURALES, DEPORTIVOS O RECREATIVOS CUYA FUNCIÓN DE INSPECCIÓN, VIGILANCIA Y CONTROL SE ENCUENTRA EN LA SECRETARÍA DE CULTURA, RECREACIÓN Y DEPORTE.</t>
  </si>
  <si>
    <t>GRUPO INTERNO DE RECURSOS FISICOS</t>
  </si>
  <si>
    <t xml:space="preserve">INSPECCIONES, VIGILANCIA Y CONTROLES.
</t>
  </si>
  <si>
    <t xml:space="preserve">INFORMACION RELACIONADA CON LAS ENTIDADES SIN ANIMO DE LUCRO RECOLECTADA EN LA BASE DE DATOS </t>
  </si>
  <si>
    <t>BASE DE DATOS DE LOS ORGANISMOS VINCULADOS AL SISTEMA NACIONAL DEL DEPORTE CON DATOS DEL NOMBRE, ID, DATOS DE CONTACTO, REPRESENTANTE LEGAL, PERSONERIA JURIDICA, REFORMAS ESTATUTARIAS, PERIODO ESTATUTARIO Y OBSERVACIONES Y   DE LAS ESAL SUJETAS A IVC CON DATOS DEL NOMBRE, ID, DATOS DE CONTACTO, REPRESENTANTE LEGAL, REGISTRO EN CAMARA DE COMERCIO, VIGENCIAS REPORTADAS Y OBSERVACIONES</t>
  </si>
  <si>
    <t>.CSV .XLSX</t>
  </si>
  <si>
    <t xml:space="preserve">MATRIZ DE SEGUIMIENTO A LA COOPERACIÓN Y PROYECCIÓN INTERNACIONAL </t>
  </si>
  <si>
    <t xml:space="preserve">CONTIENE INFORMACIÓN DE CONCEPTOS BÁSICOS DE COOPERACIÓN INTERNACIONAL, BUENAS PRÁCTICAS Y EXPERIENCIAS SIGNIFICATIVAS, RECONOCIMIENTOS O PREMIOS INTERNACIONALES, ESPACIOS DE MOVILIZACIÓN DEL CONOCIMIENTO Y PROYECCIÓN INTERNACIONAL, CONVOCATORIAS, PROYECTOS DE COOPERACIÓN, AGENDAS CONSOLIDADAS DE COOPERACIÓN, INSTRUMENTOS DE COOPERACIÓN FORMALIZADOS O EN PROCESO Y REDES DE CIUDADES </t>
  </si>
  <si>
    <t>DESPACHO - EQUIPO DE INTERNACIONALIZACIÓN</t>
  </si>
  <si>
    <t>DRIVE - CONTRATISTA ROL MATRIZ COOPERACIÓN INTERNACIONAL</t>
  </si>
  <si>
    <t>RELACIONES</t>
  </si>
  <si>
    <t>RELACIONES INTERNACIONALES - PROYECTO DE INVERSIÓN 7656</t>
  </si>
  <si>
    <t>ALEJANDRA NUÑEZ</t>
  </si>
  <si>
    <t>CATALINA VALENCIA</t>
  </si>
  <si>
    <t xml:space="preserve">BASE DE DATOS SEGUIMEINTO A PROPOSICIONES </t>
  </si>
  <si>
    <t xml:space="preserve">ES UN INSTRUMENTO PARA REALIZAR EL SEGUIMIENTO A LAS PROPOSICIONES DEL CONCEJO DE BOGOTÁ, EL CUAL CONTIENE LOS SIGUENTES DATOS: FECHA DE RECEPCIÓN, RADICADO DE ENTRADA, PLAZO A VENCER, FECHA DE PRÓRROGA SI ES EL CASO, NOMBRE DEL RESPONSABLE, TEMA OBJETO DE LA PROPOSICIÓN, NOMBRE DE LA BANCADA CITANTE, RADICADO DE SALIDA, Y FECHA DE ENVÍO FINAL. </t>
  </si>
  <si>
    <t>DESPACHO - ASESOR RELACIONES POLÍTICAS 105-04</t>
  </si>
  <si>
    <t xml:space="preserve">DRIVE - ASESOR RELACIONES POLÍTICAS </t>
  </si>
  <si>
    <t xml:space="preserve">RELACIONES CON EL CONCEJO SOBRE PROPOSICIONES </t>
  </si>
  <si>
    <t>CESAR AUGUSTO POLO</t>
  </si>
  <si>
    <t xml:space="preserve">CATALINA VALENCIA TOBON </t>
  </si>
  <si>
    <t xml:space="preserve">BASE DE DATOS DE DERECHOS DE PETICIÓN CONCEJO - CONGRESO </t>
  </si>
  <si>
    <t>ES UN INSTRUMENTO QUE CONTIENE LA FECHA DE RECEPCIÓN. RADICADO DE ENTRADA, PLAZO A VENCER, TEMA OBJETO DE LA PROPOSICIÓN, NOMBRE DEL CONCEJAL O CONGRESISTA, RADICADO DE SALIDA, Y FECHA DE ENVÍO FINAL</t>
  </si>
  <si>
    <t xml:space="preserve">RELACIONES PÚBLICAS E INTERINSTITUCIONALES DEL DESPACHO </t>
  </si>
  <si>
    <t>TRACKING COVID</t>
  </si>
  <si>
    <t>MEDICIÓN PERIÓDICA DE MEDIDAS DE BIOSEGURIDAD Y CONTAGIO DE COVID - ES INFORMACIÓN ANOMIMIZADA CON FINES ESTADÍSTICOS. ES UNA ENCUESTA PROBABILÍSTICA DONDE SE SOLICITÓ INFORMACIÓN SOBRE HÁBITOS Y PERCEPCIONES RESPECTO AL COVID.  LA INFORMACIÓN PERSONAL RECOLECTADA FUE SEXO, EDAD, NIVEL SOCIOECONÓMICO, ACTIVIDAD A LA QUE SE DEDICA, LOCALIDA DE RESIDENCIA, TELÉFONO DE CONTACTO, NOMBRES , APELLIDOS Y DIRECCIÓN DE LA VIVIENDA.  SE RECOGIÓ ENTRE 2020 Y 2022.</t>
  </si>
  <si>
    <t>DIRECCIÓN DE OBSERVATORIO Y GESTIÓN DEL CONOCIMIENTO CULTURAL</t>
  </si>
  <si>
    <t>PROCEDIMIENTO DE MEDICIONES Y ANALÍTICA EN CAMPO OFICINA DE TECNOLOGIAS DE LA INFORMACIÓN</t>
  </si>
  <si>
    <t>DATA CENTER DE LA SECRETARIA DE CULTURA RECREACION Y DEPORTE</t>
  </si>
  <si>
    <t>.XLSX, .PDF.</t>
  </si>
  <si>
    <t>12//07/2023</t>
  </si>
  <si>
    <t>GISELA CASTRILLÓN MORENO.
MARIA DEL PILAR ACOSTA</t>
  </si>
  <si>
    <t>LUIS FELIPE CALERO GONZÁLEZ</t>
  </si>
  <si>
    <t>MEDICIONES, ENCUESTAS, SONDEOS Y CONTEOS</t>
  </si>
  <si>
    <t>3 ENCUESTAS DE AMBIENTE Y MANEJO DE RESIDUOS.
12 CONTEOS  DE COMPORTAMIENTO CULTURA Y SALUD.
    2 EXPERIMENTOS SOCIALES 1 SONDEO   DE CONFIANZA.
  1 ENCUESTA  DE CONFIANZA - GÉNERO.
 2 SONDEO   DE CONFIANZA - SALUD.
1 CONTEOS  3 ENCUESTA       DE CONFIANZA Y PARTICIPACIÓN.
    2 EXPERIMENTO     DE CULTURA AMBIENTAL.
  2 ENCUESTAS       DE CULTURA CIUDADANA.
  3 ENCUESTA  1 EXPERIMENTO     DE GÉNERO.
1 CONTEOS         DE LABORATORIO.
6 CONTEOS  6 ENCUESTA  2 EXPERIMENTO     DE MOVILIDAD.
1 ENCUESTA       DE RED.
      1 SONDEO   DE RED - MOVILIDAD - SALUD.
  1 ENCUESTA       DE RED-SALUD.
2 CONTEOS  2 ENCUESTA  1 EXPERIMENTO     DE SALUD.
2 ENCUESTAS EN TEMAS DE SALUD Y OTROS
  3 ENCUESTAS MOVILIDAD (PEATONES, SEGURIDAD VIAL, BICIUSUARIOS, MOVILIDAD SOSTENIBLE)
  1 ENCUESTA  SOBRE LECTURA, ESCRITURA, ORALIDAD Y EQUIPAMIENTOS CULTURALES.
3 SONDEOS   DE SECTOR ARTE, CULTURA Y PATRIMONIO.
3 ENCUESTAS DEL SECTOR DEPORTE Y RECREACIÓN.
1 SONDEO   DE SECTOR PATRIMONIO.
3 CENSOS DE PREDIOS QUE SON BIENES DE INTERÉS CULTURAL
1 CONTEOS DE SUBSECRETARÍA DE CULTURA CIUDADANA.
1 ENCUESTA TRANSVERSAL EN TEMAS DE CULTURA CIUDADANA
1 ENCUESTA DE CULTURA DIGITAL
1 ENCUESTA A NIVEL DE BOGOTÁ REGIÓN.
2 ENCUESTAS SOBRE DISCRIMINACIONES
1 ENCUESTA SOBRE VIOLENCIA INTERPERSONAL
2 ENCUESTAS SOBRE VIOLENCIA DE GÉNERO Y TAREAS DEL HOGAR
LAS ENCUESTAS CONTIENEN LAS SIGUIENTES VARIABLES; NOMBRE, TELEFONO, SEXO, GENERO, ORIENTACIÓN SEXUAL, ETNIA, VULNERABILIDAD Y EN ALGUNAS DIRECCIÓN DEL HOGAR, COORDENADAS GEOGRÁFICAS Y PARA LOS CENSOS bic SE RECOGIÓ EL CHIP DEL PREDIO Y EL RUT DE ALGUNOS NEGOCIOS.</t>
  </si>
  <si>
    <t>PROCEDIMIENTO DE MEDICIONES Y ANALÍTICA EN CAMPO</t>
  </si>
  <si>
    <t>OFICINA DE MEDICIONES SEDE CALLE 9</t>
  </si>
  <si>
    <t>DATA CENTER DE LA SECRETARIA DE CULTURA RECREACION Y DEPORTE. SPSS
En orfeo se radicaron en 2022 con la Serie: "Mediciones Culturales" y Subserie: "MEDICIONES CULTURALES DE PERCEPCIONES, ACTITUDES, PRÁCTICAS, ACTIVIDADES Y EVENTOS - 2022"
Con TRD: Bases o con TRD: Tablas y gráficos de salida
Expediente: 202291004500200003E</t>
  </si>
  <si>
    <t>XLSX, SPSS, CSV</t>
  </si>
  <si>
    <t>PROGRAMAS UTILIZADOS PARA EL ANALISÍS, PROCESMAIENTO Y VISUALIZACIÓN DE LOS DATOS</t>
  </si>
  <si>
    <t>SPSS, INVIVO, ARCGIS, POWERBI</t>
  </si>
  <si>
    <t>SEDE PRINCIPAL DE LA SECRETARIA DE CULTURA, RECREACIÓN Y DEPORTE</t>
  </si>
  <si>
    <t xml:space="preserve">PC DEL DIRECTOR DE OBSERVATORIO DE GESTIÓN DEL CONOCIMIENTO
EL ARCGIS SE ENCUENTRA INSTALADO EN EL SERVIDOR DE LA SCRD Y ACCEDEMOS ONLINE.
</t>
  </si>
  <si>
    <t>R, XLSX, SAV, VIV, SHP, CSV</t>
  </si>
  <si>
    <t>PUBLICACIONES</t>
  </si>
  <si>
    <t>PUBLICACIONES, INFORMES ESTADÍSTICOS, BOLETINES, INFOGRAMAS, PANCARTAS, FOLLETOS, PRESENTACIONES.</t>
  </si>
  <si>
    <t>DIRECCIÓN DE OBSERVATORIO Y GESTIÓN DEL CONOCIMIENTO CULTURAL, OFICINA DE TECNOLOGÍAS DE LA INFORMACIÓN</t>
  </si>
  <si>
    <t>SISTEMA DE GESTIÓN DOCUMENTAL, PÁGINA WEB</t>
  </si>
  <si>
    <t xml:space="preserve">PDF, PPTX, HTML, DOCX, </t>
  </si>
  <si>
    <t>MARCELA JANETH GARZÓN GARCIA</t>
  </si>
  <si>
    <t>MICROSITIO DE CULTURA CIUDADANA</t>
  </si>
  <si>
    <t>DISPOSICIÓN DE DATOS E INFORMACIÓN RELEVANTE RESULTANTE DE LAS INVESTIGACIONES</t>
  </si>
  <si>
    <t>DIRECCIÓN OBSERVATORIO DE GESTIÓN DEL CONOCIMIENTO CULTURAL</t>
  </si>
  <si>
    <t>PAGINA WEB</t>
  </si>
  <si>
    <t xml:space="preserve">PDF </t>
  </si>
  <si>
    <t>MARCELA  GARZÓN  Y RAFAEL RICARDO VILLA ROJAS</t>
  </si>
  <si>
    <t>OFERTA DE INFORMACIÓN PERTIENNTE A LA CULTURA CIUDADANA Y DE INFORMACIÓN DE EVENTOS EN LA ACTUALIDAD</t>
  </si>
  <si>
    <t>PÁGINA WEB</t>
  </si>
  <si>
    <t>REPOSITORIO DE CONTENIDOS E INVESTIGACIONES</t>
  </si>
  <si>
    <t>LISTADO DE ARCHIVOS RELACIONADOS CON DOCUMENTOS, PUBLICACIONES, PRESENTACIONES, VIDEOS QUE SON EL RESULTADO DE INVESTIGACIONES DEL SECTOR CULTURA, RECREACIÓN Y DEPORTE.</t>
  </si>
  <si>
    <t>NA</t>
  </si>
  <si>
    <t>GOOGLE DRIVE SCRD</t>
  </si>
  <si>
    <t>SQL, Excel, GoogleSheets</t>
  </si>
  <si>
    <t>JAVIER MAURICIO OJEDA PEPINOSA</t>
  </si>
  <si>
    <t>TOKEN PARA FIRMA DE PLANILLAS</t>
  </si>
  <si>
    <t>PERMITE REALIZAR CON SEGURIDAD Y TRAZABILIDAD LAS APROBACIONES DE LOS PAGOS MENSUALES EN EL MARCO DE LA EJECUCION DEL PROYECTO DE INVERSION 7879</t>
  </si>
  <si>
    <t>ORDENADOR DEL GASTO SUBSECRETARÍA DE CULTURA CIUDADANA Y GESTIÓN DE CONOCIMIENTO</t>
  </si>
  <si>
    <t>DESPACHO DE LA SUBSECRETARÍA DISTRITAL DE CULTURA CIUDADANA Y GESTIÓN DEL CONOCIMIENTO</t>
  </si>
  <si>
    <t>SANDRA MILENA ARISTIZABAL</t>
  </si>
  <si>
    <t>LUIS FELIPE CALERO GONZALEZ</t>
  </si>
  <si>
    <t>PORTAL DE CULTURA CIUDADANA</t>
  </si>
  <si>
    <t>PERMITE EFECTUAR LA DIVULGACIÓN DE LAS ACTIVIDADES, LINEAS DE ACCIÓN, CONOCIMIENTO, POLÍTICAS E INTERVENCIONES EN TEMAS DE CULTURA CIUDADANA</t>
  </si>
  <si>
    <t>OFICINA ASESORA DE COMUNICACIONES Y OFICINA DE TECNOLOGÍAS DE INFORMACIÓN</t>
  </si>
  <si>
    <t>DATACENTER DE LA SCRD</t>
  </si>
  <si>
    <t>.PDF, .PPT</t>
  </si>
  <si>
    <t>REDES SOCIALES CULTURA CIUDADANA</t>
  </si>
  <si>
    <t>CUENTAS OFICIALES @BOGOTAESCIVICA EN INSTAGRAM, FACEBOOK Y TWITTER DE LA SUBSECRETARÍA DISTRITAL DE CULTURA CIUDADANA</t>
  </si>
  <si>
    <t>INSTAGRAM
FACEBOOK
TWITTER</t>
  </si>
  <si>
    <t>.MP4 .PNG</t>
  </si>
  <si>
    <t>COPIAS DE SEGURIDAD</t>
  </si>
  <si>
    <t>ESTE ACTIVO INCLUYE COPIAS DE SEGURIDAD DE LAS BASES DE DATOS, CONFIGURACIONES DE EQUIPOS, CÓDIGO FUENTE, SISTEMAS DE INFORMACIÓN, INFORMACIÓN DE LAS DEPENDENCIAS.</t>
  </si>
  <si>
    <t>TODAS LAS AREAS</t>
  </si>
  <si>
    <t>DATACENTER</t>
  </si>
  <si>
    <t>.ZIP, .TAR, OTROS</t>
  </si>
  <si>
    <t>NICOLAS VILLAMIL
PATRICIA RODRIGUEZ</t>
  </si>
  <si>
    <t>VIVIANA MARGARITA BYUELO SERRANO</t>
  </si>
  <si>
    <t>SERVICIOS TECNOLÓGICOS</t>
  </si>
  <si>
    <t>ESTE ACTIVO INCLUYE LOS SERVICIOS DE TI QUE PRESTA LA OFICINA DE TECNOLOGÍAS DE LA INFORMACIÓN, LOS CUALES SON: COPIADO E IMPRESIÓN, INTERNET, CORREO ELECTRÓNICO, TELEFONÍA, MESA DE SERVICIOS, VPN, WIFI, ESCANEO</t>
  </si>
  <si>
    <t>.XML</t>
  </si>
  <si>
    <t>INFRAESTRUCTURA TECNOLÓGICA ONPREMISE</t>
  </si>
  <si>
    <t xml:space="preserve">ESTE ACTIVO INCLUYE: SERVIDORES (FISICOS Y VIRTUALES), EQUIPOS DE COMUNICACIONES, EQUIPOS DE SEGURIDAD PERIMETRAL, EQUIPOS DE USUARIO FINAL, ALMACENAMIENTO.  </t>
  </si>
  <si>
    <t>DATACENTER
SEDE PRINCIPAL</t>
  </si>
  <si>
    <t>VHD, OTROS</t>
  </si>
  <si>
    <t>INFRAESTRUCTURA TECNOLÓGICA NUBE</t>
  </si>
  <si>
    <t>ESTE ACTIVO INCLUYE: SERVIDORES VIRTUALES, SERVICIOS IAAS, PAAS</t>
  </si>
  <si>
    <t>DOCUMENTACIÓN PRODUCIDA POR LA OTI EN EL EJERCICIO DE SUS FUNCIONES</t>
  </si>
  <si>
    <t>ESTE ACTIVO INCLUYE: ACTAS, ESTRATEGIAS, INFORMES, PLANES, PROCEDIMIENTOS, GUÍAS, MANUALES, AUTODIAGNOSTICO MSPI, INFORME DE VULNERABILIDADES, DOCUMENTOS DE REQUERIMIENTOS Y ADMINISTRACIÓN DE APLICATIVOS, SEGUIMIENTO A RIESGOS, HISTORIAS DE USUARIO Y DEMAS DOCUMENTOS RELACIONADOS CON LA GESTIÓN DE LA OTI.</t>
  </si>
  <si>
    <t>DATACENTER
ARCHIVO CENTRALIZADO</t>
  </si>
  <si>
    <t>SISTEMA DE GESTIÓN DOCUMENTAL
DIRVE
HERRAMIENTAS COLABORATIVAS</t>
  </si>
  <si>
    <t xml:space="preserve">DOC, XLS, PPT, PDF, </t>
  </si>
  <si>
    <t>ACTAS, CONCEPTOS, DOCUMENTOS NO OFICIALES, PLANES</t>
  </si>
  <si>
    <t>ADMINISTRADORES DE INFRAESTRUCTURA</t>
  </si>
  <si>
    <t>ESTE ACTIVO INCLUYE: ADMINISTRADOR INFRAESTRUCTURA, BASES DE DATOS.</t>
  </si>
  <si>
    <t>APLICATIVOS BASE Y OTROS</t>
  </si>
  <si>
    <t>ESTE ACTIVO INCLUYE: APLICATIVOS REQUERIDOS POR LA OTI PARA LA OPERACIÓN DE LA ENTIDAD (SISTEMAS OPERATIVOS CLIENTE Y SERVIDORES, HERRAMIENTAS OFIMÁTICAS, ANTIVIRUS, CLIENTES DE INVENTARIO DE SOFTWARE, CLIENTES DE COPIAS DE SEGURIDAD, GESTION DE VULNERABILIDADES, VIRTUALIZACION, GESTION DE CONTENERDORES, GESTION DE IDENTIDADES, APLICATIVO DE DISEÑO.</t>
  </si>
  <si>
    <t>DIRECTORIO ACTIVO</t>
  </si>
  <si>
    <t>ESTE ACTIVO INCLUYE: DIRECTORIO ACTIVO, LDAP, KEYCLOAK</t>
  </si>
  <si>
    <t>INFRAESTRUCTURA TECNOLOGICA</t>
  </si>
  <si>
    <t>DATACENTER SCRD - NUBE PUBLICA</t>
  </si>
  <si>
    <t>DATACENTER
SEDE PRINCIPAL
SERVICIOS DE NUBE</t>
  </si>
  <si>
    <t xml:space="preserve">APLICATIVOS Y SISTEMAS DE INFORMACIÓN </t>
  </si>
  <si>
    <t xml:space="preserve">APLICATIVOS, MOTORES DE BASES DE DATOS, COMPONENTES, LENGUAJES DE PROGRAMACIÓN, REPOSITORIO DE VERSIONAMIENTO, CODIGO FUENTE. </t>
  </si>
  <si>
    <t>GITLAB</t>
  </si>
  <si>
    <t>ADMINISTRADOR FUNCIONAL DEL SISTEMA DE GESTIÓN DOCUMENTAL</t>
  </si>
  <si>
    <t>RESPONSABLE DE SUPERVISAR Y GESTIONAR LAS FUNCIONES OPERATIVAS Y ADMINISTRATIVAS DEL SISTEMA DE GESTIÓN DOCUMENTAL, COMO EL DISEÑO DE FLUJOS DE TRABAJO, PERMISOS DE ACCESO Y CAPACITACIÓN DE USUARIOS.</t>
  </si>
  <si>
    <t>ES UN SISTEMA O LUGAR CENTRALIZADO DONDE SE ALMACENAN Y GESTIONAN LOS DOCUMENTOS Y REGISTROS NECESARIOS PARA EL FUNCIONAMIENTO DIARIO DE LA ENTIDAD. ESTE ARCHIVO CONTIENE DOCUMENTOS ACTIVOS Y FRECUENTEMENTE UTILIZADOS, QUE ESTÁN BAJO CONTROL Y SEGUIMIENTO CONSTANTE.</t>
  </si>
  <si>
    <t>GRUPO INTERNO DE TRABAJO DE GESTIÓN DE SERVICIOS ADMINISTRATIVOS-OFICINA DE TECNOLOGÍAS DE LA INFORMACIÓN</t>
  </si>
  <si>
    <t xml:space="preserve">ARCHIVO CENTRAL  </t>
  </si>
  <si>
    <t xml:space="preserve">
DATACENTER DE LA SECREATARÍA DE CULTURA RECREACIÓN Y DEPORTE</t>
  </si>
  <si>
    <t>PAPEL 
FOTOGRAFÍAS
PLANOS
ACETATOS
CINTAS MAGNÉTICAS
DISCOS ÓPTICOS
GRANDES FORMATOS EN PAPEL
UNIDADES EXTRAIBLES
LIBROS EMPASTADOS
PDF
PDF/A
DOCX
XLSX
PPT
ZIP
WINRAR 
MP4 / WMP</t>
  </si>
  <si>
    <t>ARCHIVO DE GESTIÓN CENTRALIZADO</t>
  </si>
  <si>
    <t>DATACENTER DE LA SECREATARÍA DE CULTURA RECREACIÓN Y DEPORTE</t>
  </si>
  <si>
    <t>BASE DE DATOS DEL SISTEMA DE GESTIÓN DOCUMENTAL</t>
  </si>
  <si>
    <t>ESTRUCTURA DE ALMACENAMIENTO DIGITAL DISEÑADA PARA ORGANIZAR Y GESTIONAR INFORMACIÓN RELACIONADA CON LOS DOCUMENTOS EN UN SISTEMA DE GESTIÓN DOCUMENTAL DE LA SECRETARÍA DE CULTURA RECREACIÓN Y DEPORTE. ALMACENA METADATOS Y FACILITA LA BÚSQUEDA Y RECUPERACIÓN DE DOCUMENTOS.</t>
  </si>
  <si>
    <t>PDF
PDF/A
DOCX
XLSX
PPT
ZIP
WINRAR 
MP4 / WMP</t>
  </si>
  <si>
    <t>DESARROLLADOR Y SOPORTE TÉCNICO DEL SISTEMA DE GESTIÓN DOCUMENTAL</t>
  </si>
  <si>
    <t>ENCARGADO DE LA CONFIGURACIÓN TÉCNICA, MANTENIMIENTO, SEGURIDAD Y RENDIMIENTO DEL SISTEMA DE GESTIÓN DOCUMENTAL. GARANTIZA LA INTEGRIDAD Y DISPONIBILIDAD DE LOS DATOS ALMACENADOS EN EL SISTEMA, ASÍ COMO LA RESOLUCIÓN DE PROBLEMAS Y ACTUALIZACIONES DEL SOFTWARE.</t>
  </si>
  <si>
    <t xml:space="preserve">INSTRUMENTOS ARCHIVÍSTICOS </t>
  </si>
  <si>
    <t>CONJUNTO DE INSTRUMENTOS CONFIRMADOS POR LAS TABLAS DE RETENCIÓN DOCUMENTAL, TABLAS DE VALORACIÓN DOCUMENTAL, TABLAS DE CONTROL DE ACCESO, PROGRAMA DE GESTIÓN DOCUMENTAL ENTRE OTROS MEDIANTE LOS CUALES SE ESTABLECEN LOS CRITERIOS Y LINEAMNTOS ESTRATÉGICOS, TECNICOS Y OPERATIVOS PARA LA ADMINISTRACIÓN DE LOS DOCUMENTOS DE ARCHIVO EN LA ENTIDAD EN TO SU CICLO DE VIDA.</t>
  </si>
  <si>
    <t>https://www.culturarecreacionydeporte.gov.co/es/transparencia-acceso-informacion-publica</t>
  </si>
  <si>
    <t>PDF
EXCEL</t>
  </si>
  <si>
    <t>PLANES INSTITUCIONALES DE ARCHIVO</t>
  </si>
  <si>
    <t>INVENTARIOS DOCUMENTALES</t>
  </si>
  <si>
    <t>LISTAS O REGISTROS QUE CONTIENEN INFORMACIÓN DETALLADA SOBRE LOS DOCUMENTOS Y REGISTROS PRESENTES EN EL SISTEMA DE GESTIÓN DOCUMENTAL. PROPORCIONAN UNA VISIÓN COMPLETA DE LOS DOCUMENTOS, INCLUYENDO UBICACIÓN, DESCRIPCIÓN, ESTADO Y OTRA INFORMACIÓN RELEVANTE PARA SU GESTIÓN Y RECUPERACIÓN.</t>
  </si>
  <si>
    <t>FONDOS DOCUMENTALES ACUMULADOS</t>
  </si>
  <si>
    <t xml:space="preserve">POLÍTICAS Y PROCEDIMIENTOS DE LA GESTIÓN DOCUMENTAL </t>
  </si>
  <si>
    <t>DOCUMENTOS FORMALES QUE ESTABLECEN LAS DIRECTRICES Y LINEAMIENTOS ESPECÍFICOS PARA LA GESTIÓN DE DOCUMENTOS EN LA ENTIDAD ABORDAN ASPECTOS COMO CLASIFICACIÓN, ALMACENAMIENTO, ACCESO, SEGURIDAD, RETENCIÓN Y DISPOSICIÓN DE LOS DOCUMENTOS.</t>
  </si>
  <si>
    <t>PROGRAMA DE GESTIÓN DOCUMENTAL</t>
  </si>
  <si>
    <t>SISTEMA DE GESTIÓN DOCUMENTAL</t>
  </si>
  <si>
    <t>PLATAFORMA O SOFTWARE UTILIZADO PARA ALMACENAR, ORGANIZAR Y GESTIONAR DOCUMENTOS DE FORMA ELECTRÓNICA. PERMITE LA CREACIÓN, CAPTURA, ALMACENAMIENTO, BÚSQUEDA Y RECUPERACIÓN EFICIENTE Y SEGURA DE DOCUMENTOS DIGITALES.</t>
  </si>
  <si>
    <t>CRISTIAN CABRA
CATALINA FORERO</t>
  </si>
  <si>
    <t>PAOLA RAMIREZ</t>
  </si>
  <si>
    <t>SECRETARÍA DE CULTURA, RECREACIÓN Y DEPORTE
INDICE DE INFORMACIÓN CLASIFCADA Y RESERVADA SCRD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</si>
</sst>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d\-mmm\-yy"/>
  </numFmts>
  <fonts count="36" x14ac:knownFonts="1">
    <font>
      <sz val="11"/>
      <color theme="1"/>
      <name val="Calibri"/>
      <family val="2"/>
      <scheme val="minor"/>
    </font>
    <font>
      <sz val="10"/>
      <name val="Arial"/>
      <family val="2"/>
    </font>
    <font>
      <b/>
      <sz val="11"/>
      <name val="Times New Roman"/>
      <family val="1"/>
    </font>
    <font>
      <b/>
      <sz val="10"/>
      <name val="Times New Roman"/>
      <family val="1"/>
    </font>
    <font>
      <sz val="10"/>
      <name val="Times New Roman"/>
      <family val="1"/>
    </font>
    <font>
      <sz val="10"/>
      <color theme="1"/>
      <name val="Times New Roman"/>
      <family val="1"/>
    </font>
    <font>
      <b/>
      <sz val="12"/>
      <name val="Times New Roman"/>
      <family val="1"/>
    </font>
    <font>
      <b/>
      <sz val="10"/>
      <color theme="1"/>
      <name val="Times New Roman"/>
      <family val="1"/>
    </font>
    <font>
      <sz val="10"/>
      <color rgb="FF000000"/>
      <name val="Times New Roman"/>
      <family val="1"/>
    </font>
    <font>
      <sz val="11"/>
      <color rgb="FF000000"/>
      <name val="Calibri"/>
      <family val="2"/>
      <scheme val="minor"/>
    </font>
    <font>
      <b/>
      <sz val="10"/>
      <color rgb="FF000000"/>
      <name val="Times New Roman"/>
      <family val="1"/>
    </font>
    <font>
      <sz val="11"/>
      <color theme="0"/>
      <name val="Calibri"/>
      <family val="2"/>
      <scheme val="minor"/>
    </font>
    <font>
      <b/>
      <sz val="10"/>
      <color theme="0"/>
      <name val="Calibri"/>
      <family val="2"/>
      <scheme val="minor"/>
    </font>
    <font>
      <sz val="11"/>
      <color rgb="FFFFFFFF"/>
      <name val="Calibri"/>
      <family val="2"/>
      <charset val="1"/>
    </font>
    <font>
      <b/>
      <sz val="9"/>
      <color rgb="FFFFFFFF"/>
      <name val="Arial Narrow"/>
      <family val="2"/>
      <charset val="1"/>
    </font>
    <font>
      <sz val="11"/>
      <color rgb="FF000000"/>
      <name val="Calibri"/>
      <family val="2"/>
      <charset val="1"/>
    </font>
    <font>
      <sz val="9"/>
      <color rgb="FF000000"/>
      <name val="Arial Narrow"/>
      <family val="2"/>
      <charset val="1"/>
    </font>
    <font>
      <sz val="9"/>
      <name val="Arial Narrow"/>
      <family val="2"/>
      <charset val="1"/>
    </font>
    <font>
      <b/>
      <sz val="9"/>
      <color rgb="FF000000"/>
      <name val="Arial Narrow"/>
      <family val="2"/>
      <charset val="1"/>
    </font>
    <font>
      <sz val="12"/>
      <color theme="1"/>
      <name val="Times New Roman"/>
      <family val="1"/>
    </font>
    <font>
      <sz val="12"/>
      <name val="Times New Roman"/>
      <family val="1"/>
    </font>
    <font>
      <b/>
      <sz val="10"/>
      <color theme="0"/>
      <name val="Times New Roman"/>
      <family val="1"/>
    </font>
    <font>
      <b/>
      <sz val="10"/>
      <color theme="0"/>
      <name val="Arial"/>
      <family val="2"/>
    </font>
    <font>
      <sz val="12"/>
      <color rgb="FF000000"/>
      <name val="Times New Roman"/>
      <family val="1"/>
    </font>
    <font>
      <b/>
      <sz val="10"/>
      <name val="Calibri"/>
      <family val="2"/>
      <scheme val="minor"/>
    </font>
    <font>
      <sz val="8"/>
      <name val="Calibri"/>
      <family val="2"/>
      <scheme val="minor"/>
    </font>
    <font>
      <sz val="11"/>
      <color theme="1"/>
      <name val="Calibri"/>
      <family val="2"/>
    </font>
    <font>
      <b/>
      <sz val="9"/>
      <color rgb="FF000000"/>
      <name val="Arial Narrow"/>
      <family val="2"/>
    </font>
    <font>
      <sz val="9"/>
      <color rgb="FF000000"/>
      <name val="Arial Narrow"/>
      <family val="2"/>
    </font>
    <font>
      <b/>
      <u/>
      <sz val="9"/>
      <color rgb="FF000000"/>
      <name val="Arial Narrow"/>
      <family val="2"/>
    </font>
    <font>
      <sz val="9"/>
      <color rgb="FFC9211E"/>
      <name val="Arial Narrow"/>
      <family val="2"/>
      <charset val="1"/>
    </font>
    <font>
      <b/>
      <sz val="14"/>
      <color rgb="FF000000"/>
      <name val="Times New Roman"/>
      <family val="1"/>
    </font>
    <font>
      <sz val="12"/>
      <color rgb="FFFF0000"/>
      <name val="Times New Roman"/>
      <family val="1"/>
    </font>
    <font>
      <sz val="12"/>
      <color rgb="FF1F1F1F"/>
      <name val="Times New Roman"/>
      <family val="1"/>
    </font>
    <font>
      <sz val="12"/>
      <color rgb="FF202124"/>
      <name val="Times New Roman"/>
      <family val="1"/>
    </font>
    <font>
      <u/>
      <sz val="11"/>
      <color theme="10"/>
      <name val="Calibri"/>
      <family val="2"/>
      <scheme val="minor"/>
    </font>
  </fonts>
  <fills count="3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9"/>
      </patternFill>
    </fill>
    <fill>
      <patternFill patternType="solid">
        <fgColor rgb="FF70AD47"/>
        <bgColor rgb="FF92D050"/>
      </patternFill>
    </fill>
    <fill>
      <patternFill patternType="solid">
        <fgColor rgb="FF242BB9"/>
        <bgColor rgb="FF203864"/>
      </patternFill>
    </fill>
    <fill>
      <patternFill patternType="solid">
        <fgColor rgb="FFFFFFFF"/>
        <bgColor rgb="FFFFFFCC"/>
      </patternFill>
    </fill>
    <fill>
      <patternFill patternType="solid">
        <fgColor rgb="FFFFFF00"/>
        <bgColor rgb="FFFFFF00"/>
      </patternFill>
    </fill>
    <fill>
      <patternFill patternType="solid">
        <fgColor rgb="FF00B050"/>
        <bgColor rgb="FF008080"/>
      </patternFill>
    </fill>
    <fill>
      <patternFill patternType="solid">
        <fgColor rgb="FFC55A11"/>
        <bgColor rgb="FF993300"/>
      </patternFill>
    </fill>
    <fill>
      <patternFill patternType="solid">
        <fgColor rgb="FFB4C7E7"/>
        <bgColor rgb="FFBFBFBF"/>
      </patternFill>
    </fill>
    <fill>
      <patternFill patternType="solid">
        <fgColor rgb="FF2E75B6"/>
        <bgColor rgb="FF2F5597"/>
      </patternFill>
    </fill>
    <fill>
      <patternFill patternType="solid">
        <fgColor rgb="FF92D050"/>
        <bgColor rgb="FFA9D18E"/>
      </patternFill>
    </fill>
    <fill>
      <patternFill patternType="solid">
        <fgColor rgb="FF548235"/>
        <bgColor rgb="FF595959"/>
      </patternFill>
    </fill>
    <fill>
      <patternFill patternType="solid">
        <fgColor rgb="FF00B0F0"/>
        <bgColor rgb="FF008CB9"/>
      </patternFill>
    </fill>
    <fill>
      <patternFill patternType="solid">
        <fgColor rgb="FFC5E0B4"/>
        <bgColor rgb="FFD9D9D9"/>
      </patternFill>
    </fill>
    <fill>
      <patternFill patternType="solid">
        <fgColor rgb="FF7030A0"/>
        <bgColor rgb="FF993366"/>
      </patternFill>
    </fill>
    <fill>
      <patternFill patternType="solid">
        <fgColor rgb="FF242BB9"/>
        <bgColor indexed="64"/>
      </patternFill>
    </fill>
    <fill>
      <patternFill patternType="solid">
        <fgColor indexed="65"/>
        <bgColor indexed="64"/>
      </patternFill>
    </fill>
    <fill>
      <patternFill patternType="solid">
        <fgColor rgb="FF7030A0"/>
        <bgColor indexed="64"/>
      </patternFill>
    </fill>
    <fill>
      <patternFill patternType="solid">
        <fgColor theme="0"/>
        <bgColor rgb="FFFFFF00"/>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rgb="FFFFFF00"/>
        <bgColor indexed="64"/>
      </patternFill>
    </fill>
    <fill>
      <patternFill patternType="solid">
        <fgColor theme="0"/>
        <bgColor theme="0"/>
      </patternFill>
    </fill>
    <fill>
      <patternFill patternType="solid">
        <fgColor rgb="FFFFFFFF"/>
        <bgColor rgb="FFFFFFFF"/>
      </patternFill>
    </fill>
    <fill>
      <patternFill patternType="solid">
        <fgColor rgb="FFFFFFFF"/>
        <bgColor indexed="64"/>
      </patternFill>
    </fill>
    <fill>
      <patternFill patternType="solid">
        <fgColor theme="9" tint="0.59999389629810485"/>
        <bgColor indexed="64"/>
      </patternFill>
    </fill>
    <fill>
      <patternFill patternType="solid">
        <fgColor theme="9"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auto="1"/>
      </right>
      <top/>
      <bottom style="thin">
        <color auto="1"/>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rgb="FF000000"/>
      </left>
      <right style="dotted">
        <color rgb="FF000000"/>
      </right>
      <top style="dotted">
        <color rgb="FF000000"/>
      </top>
      <bottom style="dotted">
        <color rgb="FF000000"/>
      </bottom>
      <diagonal/>
    </border>
    <border>
      <left style="thin">
        <color rgb="FF000000"/>
      </left>
      <right style="thin">
        <color rgb="FF000000"/>
      </right>
      <top style="thin">
        <color rgb="FF000000"/>
      </top>
      <bottom style="thin">
        <color rgb="FF000000"/>
      </bottom>
      <diagonal/>
    </border>
    <border>
      <left style="dotted">
        <color indexed="64"/>
      </left>
      <right style="dotted">
        <color indexed="64"/>
      </right>
      <top/>
      <bottom style="dotted">
        <color indexed="64"/>
      </bottom>
      <diagonal/>
    </border>
    <border>
      <left/>
      <right/>
      <top style="dotted">
        <color indexed="64"/>
      </top>
      <bottom/>
      <diagonal/>
    </border>
    <border>
      <left style="medium">
        <color indexed="64"/>
      </left>
      <right/>
      <top style="dotted">
        <color indexed="64"/>
      </top>
      <bottom/>
      <diagonal/>
    </border>
  </borders>
  <cellStyleXfs count="6">
    <xf numFmtId="0" fontId="0" fillId="0" borderId="0"/>
    <xf numFmtId="9" fontId="1" fillId="0" borderId="0" applyFont="0" applyFill="0" applyBorder="0" applyAlignment="0" applyProtection="0"/>
    <xf numFmtId="0" fontId="11" fillId="4" borderId="0" applyNumberFormat="0" applyBorder="0" applyAlignment="0" applyProtection="0"/>
    <xf numFmtId="0" fontId="13" fillId="5" borderId="0" applyBorder="0" applyProtection="0"/>
    <xf numFmtId="0" fontId="15" fillId="0" borderId="0"/>
    <xf numFmtId="0" fontId="35" fillId="0" borderId="0" applyNumberFormat="0" applyFill="0" applyBorder="0" applyAlignment="0" applyProtection="0"/>
  </cellStyleXfs>
  <cellXfs count="251">
    <xf numFmtId="0" fontId="0" fillId="0" borderId="0" xfId="0"/>
    <xf numFmtId="0" fontId="14" fillId="6" borderId="0" xfId="3" applyFont="1" applyFill="1" applyBorder="1" applyAlignment="1" applyProtection="1">
      <alignment horizontal="center" vertical="center" wrapText="1"/>
    </xf>
    <xf numFmtId="0" fontId="16" fillId="0" borderId="0" xfId="4" applyFont="1" applyAlignment="1">
      <alignment wrapText="1"/>
    </xf>
    <xf numFmtId="0" fontId="16" fillId="0" borderId="0" xfId="4" applyFont="1"/>
    <xf numFmtId="0" fontId="14" fillId="6" borderId="1" xfId="3" applyFont="1" applyFill="1" applyBorder="1" applyAlignment="1" applyProtection="1">
      <alignment horizontal="center" vertical="center" wrapText="1"/>
    </xf>
    <xf numFmtId="0" fontId="16" fillId="0" borderId="1" xfId="4" applyFont="1" applyBorder="1" applyAlignment="1">
      <alignment horizontal="center" vertical="center" wrapText="1"/>
    </xf>
    <xf numFmtId="0" fontId="16" fillId="0" borderId="1" xfId="4" applyFont="1" applyBorder="1" applyAlignment="1">
      <alignment horizontal="left" vertical="center" wrapText="1"/>
    </xf>
    <xf numFmtId="0" fontId="16" fillId="7" borderId="1" xfId="4" applyFont="1" applyFill="1" applyBorder="1" applyAlignment="1">
      <alignment horizontal="justify" vertical="top" wrapText="1"/>
    </xf>
    <xf numFmtId="0" fontId="16" fillId="0" borderId="1" xfId="4" applyFont="1" applyBorder="1" applyAlignment="1">
      <alignment horizontal="justify" vertical="center" wrapText="1"/>
    </xf>
    <xf numFmtId="0" fontId="14" fillId="6" borderId="1" xfId="4" applyFont="1" applyFill="1" applyBorder="1" applyAlignment="1">
      <alignment horizontal="center" vertical="center"/>
    </xf>
    <xf numFmtId="0" fontId="16" fillId="0" borderId="1" xfId="4" applyFont="1" applyBorder="1" applyAlignment="1">
      <alignment horizontal="left" vertical="center"/>
    </xf>
    <xf numFmtId="0" fontId="16" fillId="0" borderId="1" xfId="4" applyFont="1" applyBorder="1" applyAlignment="1">
      <alignment horizontal="center" vertical="center"/>
    </xf>
    <xf numFmtId="0" fontId="16" fillId="0" borderId="1" xfId="4" applyFont="1" applyBorder="1" applyAlignment="1">
      <alignment horizontal="justify" vertical="center"/>
    </xf>
    <xf numFmtId="0" fontId="14" fillId="6" borderId="1" xfId="4" applyFont="1" applyFill="1" applyBorder="1" applyAlignment="1">
      <alignment horizontal="center" vertical="center" wrapText="1"/>
    </xf>
    <xf numFmtId="0" fontId="17" fillId="7" borderId="1" xfId="4" applyFont="1" applyFill="1" applyBorder="1" applyAlignment="1">
      <alignment horizontal="center" vertical="center" wrapText="1"/>
    </xf>
    <xf numFmtId="0" fontId="18" fillId="8" borderId="12" xfId="4" applyFont="1" applyFill="1" applyBorder="1" applyAlignment="1">
      <alignment horizontal="center" vertical="center"/>
    </xf>
    <xf numFmtId="0" fontId="18" fillId="0" borderId="13" xfId="4" applyFont="1" applyBorder="1" applyAlignment="1">
      <alignment horizontal="center" vertical="center" wrapText="1"/>
    </xf>
    <xf numFmtId="0" fontId="18" fillId="0" borderId="12" xfId="4" applyFont="1" applyBorder="1" applyAlignment="1">
      <alignment horizontal="center" vertical="center" wrapText="1"/>
    </xf>
    <xf numFmtId="0" fontId="16" fillId="9" borderId="18" xfId="4" applyFont="1" applyFill="1" applyBorder="1" applyAlignment="1">
      <alignment vertical="center"/>
    </xf>
    <xf numFmtId="0" fontId="18" fillId="8" borderId="15" xfId="4" applyFont="1" applyFill="1" applyBorder="1" applyAlignment="1">
      <alignment horizontal="center" vertical="center" wrapText="1"/>
    </xf>
    <xf numFmtId="0" fontId="16" fillId="8" borderId="11" xfId="4" applyFont="1" applyFill="1" applyBorder="1" applyAlignment="1">
      <alignment horizontal="left" vertical="center" wrapText="1"/>
    </xf>
    <xf numFmtId="0" fontId="16" fillId="0" borderId="15" xfId="4" applyFont="1" applyBorder="1" applyAlignment="1">
      <alignment vertical="center"/>
    </xf>
    <xf numFmtId="0" fontId="18" fillId="10" borderId="15" xfId="4" applyFont="1" applyFill="1" applyBorder="1" applyAlignment="1">
      <alignment horizontal="center" vertical="center" wrapText="1"/>
    </xf>
    <xf numFmtId="0" fontId="16" fillId="8" borderId="4" xfId="4" applyFont="1" applyFill="1" applyBorder="1" applyAlignment="1">
      <alignment horizontal="left" vertical="center" wrapText="1"/>
    </xf>
    <xf numFmtId="0" fontId="16" fillId="11" borderId="15" xfId="4" applyFont="1" applyFill="1" applyBorder="1" applyAlignment="1">
      <alignment vertical="center"/>
    </xf>
    <xf numFmtId="0" fontId="18" fillId="12" borderId="15" xfId="4" applyFont="1" applyFill="1" applyBorder="1" applyAlignment="1">
      <alignment horizontal="center" vertical="center" wrapText="1"/>
    </xf>
    <xf numFmtId="0" fontId="16" fillId="8" borderId="5" xfId="4" applyFont="1" applyFill="1" applyBorder="1" applyAlignment="1">
      <alignment horizontal="left" vertical="center" wrapText="1"/>
    </xf>
    <xf numFmtId="0" fontId="16" fillId="13" borderId="16" xfId="4" applyFont="1" applyFill="1" applyBorder="1" applyAlignment="1">
      <alignment vertical="center"/>
    </xf>
    <xf numFmtId="0" fontId="18" fillId="14" borderId="15" xfId="4" applyFont="1" applyFill="1" applyBorder="1" applyAlignment="1">
      <alignment horizontal="center" vertical="center" wrapText="1"/>
    </xf>
    <xf numFmtId="0" fontId="18" fillId="15" borderId="15" xfId="4" applyFont="1" applyFill="1" applyBorder="1" applyAlignment="1">
      <alignment horizontal="center" vertical="center" wrapText="1"/>
    </xf>
    <xf numFmtId="0" fontId="18" fillId="16" borderId="15" xfId="4" applyFont="1" applyFill="1" applyBorder="1" applyAlignment="1">
      <alignment horizontal="center" vertical="center" wrapText="1"/>
    </xf>
    <xf numFmtId="0" fontId="16" fillId="10" borderId="21" xfId="4" applyFont="1" applyFill="1" applyBorder="1" applyAlignment="1">
      <alignment horizontal="left" vertical="center" wrapText="1"/>
    </xf>
    <xf numFmtId="0" fontId="18" fillId="17" borderId="16" xfId="4" applyFont="1" applyFill="1" applyBorder="1" applyAlignment="1">
      <alignment horizontal="center" vertical="center" wrapText="1"/>
    </xf>
    <xf numFmtId="0" fontId="18" fillId="0" borderId="0" xfId="4" applyFont="1" applyAlignment="1">
      <alignment horizontal="center" vertical="center" wrapText="1"/>
    </xf>
    <xf numFmtId="0" fontId="16" fillId="10" borderId="5" xfId="4" applyFont="1" applyFill="1" applyBorder="1" applyAlignment="1">
      <alignment horizontal="left" vertical="center" wrapText="1"/>
    </xf>
    <xf numFmtId="0" fontId="16" fillId="10" borderId="15" xfId="4" applyFont="1" applyFill="1" applyBorder="1" applyAlignment="1">
      <alignment horizontal="left" vertical="center" wrapText="1"/>
    </xf>
    <xf numFmtId="0" fontId="16" fillId="12" borderId="18" xfId="4" applyFont="1" applyFill="1" applyBorder="1" applyAlignment="1">
      <alignment horizontal="left" vertical="center" wrapText="1"/>
    </xf>
    <xf numFmtId="0" fontId="16" fillId="14" borderId="19" xfId="4" applyFont="1" applyFill="1" applyBorder="1" applyAlignment="1">
      <alignment horizontal="left" vertical="center" wrapText="1"/>
    </xf>
    <xf numFmtId="0" fontId="16" fillId="0" borderId="0" xfId="4" applyFont="1" applyAlignment="1">
      <alignment horizontal="center" vertical="center" wrapText="1"/>
    </xf>
    <xf numFmtId="0" fontId="16" fillId="15" borderId="15" xfId="4" applyFont="1" applyFill="1" applyBorder="1" applyAlignment="1">
      <alignment horizontal="left" vertical="center" wrapText="1"/>
    </xf>
    <xf numFmtId="0" fontId="16" fillId="16" borderId="15" xfId="4" applyFont="1" applyFill="1" applyBorder="1" applyAlignment="1">
      <alignment horizontal="left" vertical="center" wrapText="1"/>
    </xf>
    <xf numFmtId="0" fontId="16" fillId="17" borderId="15" xfId="4" applyFont="1" applyFill="1" applyBorder="1" applyAlignment="1">
      <alignment horizontal="left" vertical="center" wrapText="1"/>
    </xf>
    <xf numFmtId="0" fontId="15" fillId="0" borderId="0" xfId="4"/>
    <xf numFmtId="0" fontId="16" fillId="8" borderId="21" xfId="4" applyFont="1" applyFill="1" applyBorder="1" applyAlignment="1">
      <alignment horizontal="left" vertical="center" wrapText="1"/>
    </xf>
    <xf numFmtId="0" fontId="16" fillId="0" borderId="0" xfId="4" applyFont="1" applyAlignment="1">
      <alignment horizontal="center" vertical="center"/>
    </xf>
    <xf numFmtId="0" fontId="8" fillId="0" borderId="0" xfId="0" applyFont="1" applyProtection="1">
      <protection locked="0"/>
    </xf>
    <xf numFmtId="0" fontId="6"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6" fillId="3" borderId="0" xfId="0" applyFont="1" applyFill="1" applyAlignment="1" applyProtection="1">
      <alignment vertical="center" wrapText="1"/>
      <protection locked="0"/>
    </xf>
    <xf numFmtId="0" fontId="8" fillId="3" borderId="0" xfId="0" applyFont="1" applyFill="1" applyAlignment="1" applyProtection="1">
      <alignment wrapText="1"/>
      <protection locked="0"/>
    </xf>
    <xf numFmtId="0" fontId="5" fillId="0" borderId="0" xfId="0" applyFont="1" applyProtection="1">
      <protection locked="0"/>
    </xf>
    <xf numFmtId="0" fontId="21" fillId="18" borderId="22" xfId="2" applyFont="1" applyFill="1" applyBorder="1" applyAlignment="1">
      <alignment vertical="center" wrapText="1"/>
    </xf>
    <xf numFmtId="0" fontId="4" fillId="19"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8" fillId="21" borderId="12" xfId="4" applyFont="1" applyFill="1" applyBorder="1" applyAlignment="1">
      <alignment horizontal="center" vertical="center"/>
    </xf>
    <xf numFmtId="0" fontId="16" fillId="22" borderId="18" xfId="4" applyFont="1" applyFill="1" applyBorder="1" applyAlignment="1">
      <alignment vertical="center" wrapText="1"/>
    </xf>
    <xf numFmtId="0" fontId="16" fillId="22" borderId="15" xfId="4" applyFont="1" applyFill="1" applyBorder="1" applyAlignment="1">
      <alignment vertical="center" wrapText="1"/>
    </xf>
    <xf numFmtId="0" fontId="16" fillId="2" borderId="15" xfId="4" applyFont="1" applyFill="1" applyBorder="1" applyAlignment="1">
      <alignment vertical="center" wrapText="1"/>
    </xf>
    <xf numFmtId="0" fontId="16" fillId="2" borderId="17" xfId="4" applyFont="1" applyFill="1" applyBorder="1" applyAlignment="1">
      <alignment vertical="center" wrapText="1"/>
    </xf>
    <xf numFmtId="0" fontId="16" fillId="23" borderId="15" xfId="4" applyFont="1" applyFill="1" applyBorder="1" applyAlignment="1">
      <alignment vertical="center" wrapText="1"/>
    </xf>
    <xf numFmtId="0" fontId="16" fillId="24" borderId="16" xfId="4" applyFont="1" applyFill="1" applyBorder="1" applyAlignment="1">
      <alignment vertical="center" wrapText="1"/>
    </xf>
    <xf numFmtId="0" fontId="8" fillId="0" borderId="0" xfId="0" applyFont="1" applyAlignment="1" applyProtection="1">
      <alignment wrapText="1"/>
      <protection locked="0"/>
    </xf>
    <xf numFmtId="0" fontId="8" fillId="0" borderId="0" xfId="0" applyFont="1" applyAlignment="1" applyProtection="1">
      <alignment horizontal="center"/>
      <protection locked="0"/>
    </xf>
    <xf numFmtId="0" fontId="10" fillId="3" borderId="0" xfId="0" applyFont="1" applyFill="1" applyAlignment="1" applyProtection="1">
      <alignment horizontal="left" vertical="center" wrapText="1"/>
      <protection locked="0"/>
    </xf>
    <xf numFmtId="0" fontId="10" fillId="0" borderId="0" xfId="0" applyFont="1" applyAlignment="1" applyProtection="1">
      <alignment vertical="center"/>
      <protection locked="0"/>
    </xf>
    <xf numFmtId="0" fontId="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14" xfId="0" applyFont="1" applyBorder="1" applyProtection="1">
      <protection locked="0"/>
    </xf>
    <xf numFmtId="0" fontId="5" fillId="0" borderId="1" xfId="0" applyFont="1" applyBorder="1" applyProtection="1">
      <protection locked="0"/>
    </xf>
    <xf numFmtId="0" fontId="8" fillId="3" borderId="0" xfId="0" applyFont="1" applyFill="1" applyProtection="1">
      <protection locked="0"/>
    </xf>
    <xf numFmtId="0" fontId="19" fillId="2" borderId="0" xfId="0" applyFont="1" applyFill="1" applyAlignment="1" applyProtection="1">
      <alignment horizontal="center" vertical="center" wrapText="1"/>
      <protection locked="0"/>
    </xf>
    <xf numFmtId="0" fontId="5" fillId="0" borderId="0" xfId="0" applyFont="1" applyAlignment="1" applyProtection="1">
      <alignment wrapText="1"/>
      <protection locked="0"/>
    </xf>
    <xf numFmtId="0" fontId="12" fillId="20" borderId="23" xfId="2" applyFont="1" applyFill="1" applyBorder="1" applyAlignment="1" applyProtection="1">
      <alignment horizontal="center" vertical="center" wrapText="1"/>
      <protection locked="0"/>
    </xf>
    <xf numFmtId="0" fontId="24" fillId="25" borderId="23" xfId="2" applyFont="1" applyFill="1" applyBorder="1" applyAlignment="1" applyProtection="1">
      <alignment horizontal="center" vertical="center" wrapText="1"/>
      <protection locked="0"/>
    </xf>
    <xf numFmtId="0" fontId="23" fillId="0" borderId="23" xfId="0" applyFont="1" applyBorder="1" applyAlignment="1" applyProtection="1">
      <alignment vertical="center" wrapText="1"/>
      <protection locked="0"/>
    </xf>
    <xf numFmtId="1" fontId="20" fillId="2" borderId="23" xfId="1" applyNumberFormat="1" applyFont="1" applyFill="1" applyBorder="1" applyAlignment="1" applyProtection="1">
      <alignment vertical="top" wrapText="1"/>
      <protection locked="0"/>
    </xf>
    <xf numFmtId="0" fontId="19" fillId="2" borderId="23" xfId="0" applyFont="1" applyFill="1" applyBorder="1" applyAlignment="1" applyProtection="1">
      <alignment horizontal="center" vertical="center"/>
      <protection locked="0"/>
    </xf>
    <xf numFmtId="0" fontId="19" fillId="2" borderId="23" xfId="0" applyFont="1" applyFill="1" applyBorder="1" applyAlignment="1" applyProtection="1">
      <alignment horizontal="center" vertical="center" wrapText="1"/>
      <protection locked="0"/>
    </xf>
    <xf numFmtId="0" fontId="19" fillId="2" borderId="23" xfId="0" applyFont="1" applyFill="1" applyBorder="1" applyAlignment="1" applyProtection="1">
      <alignment vertical="center" wrapText="1"/>
      <protection locked="0"/>
    </xf>
    <xf numFmtId="15" fontId="19" fillId="2" borderId="23" xfId="0" applyNumberFormat="1" applyFont="1" applyFill="1" applyBorder="1" applyAlignment="1" applyProtection="1">
      <alignment vertical="center" wrapText="1"/>
      <protection locked="0"/>
    </xf>
    <xf numFmtId="0" fontId="20" fillId="0" borderId="23" xfId="0" applyFont="1" applyBorder="1" applyAlignment="1" applyProtection="1">
      <alignment horizontal="center" vertical="center" wrapText="1"/>
      <protection hidden="1"/>
    </xf>
    <xf numFmtId="0" fontId="16" fillId="0" borderId="1" xfId="4" applyFont="1" applyBorder="1" applyAlignment="1">
      <alignment horizontal="center" vertical="top" wrapText="1"/>
    </xf>
    <xf numFmtId="0" fontId="16" fillId="0" borderId="1" xfId="4" applyFont="1" applyBorder="1" applyAlignment="1">
      <alignment horizontal="left" vertical="top" wrapText="1"/>
    </xf>
    <xf numFmtId="0" fontId="27" fillId="7" borderId="1" xfId="4" applyFont="1" applyFill="1" applyBorder="1" applyAlignment="1">
      <alignment horizontal="justify" vertical="top" wrapText="1"/>
    </xf>
    <xf numFmtId="0" fontId="16" fillId="7" borderId="1" xfId="4" applyFont="1" applyFill="1" applyBorder="1" applyAlignment="1">
      <alignment horizontal="left" vertical="top" wrapText="1"/>
    </xf>
    <xf numFmtId="0" fontId="18" fillId="7" borderId="1" xfId="4" applyFont="1" applyFill="1" applyBorder="1" applyAlignment="1">
      <alignment horizontal="justify" vertical="top" wrapText="1"/>
    </xf>
    <xf numFmtId="0" fontId="28" fillId="7" borderId="1" xfId="4" applyFont="1" applyFill="1" applyBorder="1" applyAlignment="1">
      <alignment horizontal="justify" vertical="top" wrapText="1"/>
    </xf>
    <xf numFmtId="0" fontId="16" fillId="0" borderId="1" xfId="4" applyFont="1" applyBorder="1" applyAlignment="1">
      <alignment horizontal="justify" vertical="top" wrapText="1"/>
    </xf>
    <xf numFmtId="0" fontId="28" fillId="0" borderId="1" xfId="4" applyFont="1" applyBorder="1" applyAlignment="1">
      <alignment horizontal="left" vertical="top" wrapText="1"/>
    </xf>
    <xf numFmtId="0" fontId="26" fillId="2" borderId="18" xfId="0" applyFont="1" applyFill="1" applyBorder="1" applyAlignment="1">
      <alignment vertical="top" wrapText="1"/>
    </xf>
    <xf numFmtId="0" fontId="26" fillId="2" borderId="15" xfId="0" applyFont="1" applyFill="1" applyBorder="1" applyAlignment="1">
      <alignment vertical="top" wrapText="1"/>
    </xf>
    <xf numFmtId="0" fontId="26" fillId="2" borderId="16" xfId="0" applyFont="1" applyFill="1" applyBorder="1" applyAlignment="1">
      <alignment vertical="top" wrapText="1"/>
    </xf>
    <xf numFmtId="0" fontId="9" fillId="22" borderId="18" xfId="4" applyFont="1" applyFill="1" applyBorder="1" applyAlignment="1">
      <alignment horizontal="left" vertical="top" wrapText="1"/>
    </xf>
    <xf numFmtId="0" fontId="9" fillId="22" borderId="15" xfId="4" applyFont="1" applyFill="1" applyBorder="1" applyAlignment="1">
      <alignment horizontal="left" vertical="top" wrapText="1"/>
    </xf>
    <xf numFmtId="0" fontId="9" fillId="2" borderId="15" xfId="4" applyFont="1" applyFill="1" applyBorder="1" applyAlignment="1">
      <alignment horizontal="left" vertical="top" wrapText="1"/>
    </xf>
    <xf numFmtId="0" fontId="9" fillId="23" borderId="15" xfId="4" applyFont="1" applyFill="1" applyBorder="1" applyAlignment="1">
      <alignment horizontal="left" vertical="top" wrapText="1"/>
    </xf>
    <xf numFmtId="0" fontId="9" fillId="24" borderId="15" xfId="4" applyFont="1" applyFill="1" applyBorder="1" applyAlignment="1">
      <alignment horizontal="left" vertical="top" wrapText="1"/>
    </xf>
    <xf numFmtId="0" fontId="9" fillId="0" borderId="15" xfId="4" applyFont="1" applyBorder="1" applyAlignment="1">
      <alignment horizontal="left" vertical="top"/>
    </xf>
    <xf numFmtId="0" fontId="0" fillId="0" borderId="15" xfId="0" applyBorder="1" applyAlignment="1">
      <alignment horizontal="left" vertical="top"/>
    </xf>
    <xf numFmtId="0" fontId="9" fillId="23" borderId="16" xfId="4" applyFont="1" applyFill="1" applyBorder="1" applyAlignment="1">
      <alignment horizontal="left" vertical="top" wrapText="1"/>
    </xf>
    <xf numFmtId="1" fontId="20" fillId="2" borderId="23" xfId="1" applyNumberFormat="1" applyFont="1" applyFill="1" applyBorder="1" applyAlignment="1" applyProtection="1">
      <alignment horizontal="center" vertical="center" wrapText="1"/>
      <protection locked="0"/>
    </xf>
    <xf numFmtId="0" fontId="23" fillId="0" borderId="26" xfId="0" applyFont="1" applyBorder="1" applyAlignment="1">
      <alignment horizontal="left" vertical="center" wrapText="1"/>
    </xf>
    <xf numFmtId="1" fontId="19" fillId="26" borderId="26" xfId="0" applyNumberFormat="1" applyFont="1" applyFill="1" applyBorder="1" applyAlignment="1">
      <alignment horizontal="left" vertical="center" wrapText="1"/>
    </xf>
    <xf numFmtId="0" fontId="19" fillId="26" borderId="26" xfId="0" applyFont="1" applyFill="1" applyBorder="1" applyAlignment="1">
      <alignment horizontal="left" vertical="center" wrapText="1"/>
    </xf>
    <xf numFmtId="0" fontId="19" fillId="0" borderId="26" xfId="0" applyFont="1" applyBorder="1" applyAlignment="1">
      <alignment horizontal="left" vertical="center" wrapText="1"/>
    </xf>
    <xf numFmtId="0" fontId="23" fillId="0" borderId="0" xfId="0" applyFont="1" applyAlignment="1">
      <alignment vertical="center" wrapText="1"/>
    </xf>
    <xf numFmtId="1" fontId="23" fillId="26" borderId="26" xfId="0" applyNumberFormat="1" applyFont="1" applyFill="1" applyBorder="1" applyAlignment="1">
      <alignment horizontal="left" vertical="center" wrapText="1"/>
    </xf>
    <xf numFmtId="0" fontId="23" fillId="0" borderId="23"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1" fontId="20" fillId="0" borderId="23" xfId="1" applyNumberFormat="1" applyFont="1" applyFill="1" applyBorder="1" applyAlignment="1" applyProtection="1">
      <alignment horizontal="center" vertical="center" wrapText="1"/>
      <protection locked="0"/>
    </xf>
    <xf numFmtId="0" fontId="20" fillId="0" borderId="23" xfId="0" applyFont="1" applyBorder="1" applyAlignment="1" applyProtection="1">
      <alignment vertical="center" wrapText="1"/>
      <protection locked="0"/>
    </xf>
    <xf numFmtId="1" fontId="20" fillId="2" borderId="23" xfId="1" applyNumberFormat="1" applyFont="1" applyFill="1" applyBorder="1" applyAlignment="1" applyProtection="1">
      <alignment vertical="center" wrapText="1"/>
      <protection locked="0"/>
    </xf>
    <xf numFmtId="0" fontId="19" fillId="0" borderId="23" xfId="0" applyFont="1" applyBorder="1" applyAlignment="1" applyProtection="1">
      <alignment horizontal="center" vertical="center" wrapText="1"/>
      <protection hidden="1"/>
    </xf>
    <xf numFmtId="0" fontId="19" fillId="0" borderId="23" xfId="0" applyFont="1" applyBorder="1" applyAlignment="1" applyProtection="1">
      <alignment horizontal="center" vertical="center"/>
      <protection locked="0"/>
    </xf>
    <xf numFmtId="15" fontId="19" fillId="0" borderId="23" xfId="0" applyNumberFormat="1"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1" fontId="20" fillId="2" borderId="23" xfId="1" applyNumberFormat="1" applyFont="1" applyFill="1" applyBorder="1" applyAlignment="1" applyProtection="1">
      <alignment horizontal="center" vertical="top" wrapText="1"/>
      <protection locked="0"/>
    </xf>
    <xf numFmtId="0" fontId="23" fillId="0" borderId="26" xfId="0" applyFont="1" applyBorder="1" applyAlignment="1">
      <alignment vertical="center" wrapText="1"/>
    </xf>
    <xf numFmtId="1" fontId="19" fillId="26" borderId="26" xfId="0" applyNumberFormat="1" applyFont="1" applyFill="1" applyBorder="1" applyAlignment="1">
      <alignment vertical="top" wrapText="1"/>
    </xf>
    <xf numFmtId="0" fontId="19" fillId="26" borderId="26" xfId="0" applyFont="1" applyFill="1" applyBorder="1" applyAlignment="1">
      <alignment horizontal="center" vertical="center"/>
    </xf>
    <xf numFmtId="1" fontId="19" fillId="26" borderId="26" xfId="0" applyNumberFormat="1" applyFont="1" applyFill="1" applyBorder="1" applyAlignment="1">
      <alignment horizontal="center" vertical="center" wrapText="1"/>
    </xf>
    <xf numFmtId="0" fontId="19" fillId="26" borderId="26" xfId="0" applyFont="1" applyFill="1" applyBorder="1" applyAlignment="1">
      <alignment horizontal="center" vertical="center" wrapText="1"/>
    </xf>
    <xf numFmtId="0" fontId="32" fillId="26" borderId="26" xfId="0" applyFont="1" applyFill="1" applyBorder="1" applyAlignment="1">
      <alignment horizontal="center" vertical="center" wrapText="1"/>
    </xf>
    <xf numFmtId="0" fontId="19" fillId="26" borderId="26" xfId="0" applyFont="1" applyFill="1" applyBorder="1" applyAlignment="1">
      <alignment vertical="center" wrapText="1"/>
    </xf>
    <xf numFmtId="0" fontId="19" fillId="0" borderId="26" xfId="0" applyFont="1" applyBorder="1" applyAlignment="1">
      <alignment horizontal="center" vertical="center" wrapText="1"/>
    </xf>
    <xf numFmtId="1" fontId="19" fillId="26" borderId="26" xfId="0" applyNumberFormat="1" applyFont="1" applyFill="1" applyBorder="1" applyAlignment="1">
      <alignment horizontal="center" vertical="top" wrapText="1"/>
    </xf>
    <xf numFmtId="0" fontId="19" fillId="0" borderId="0" xfId="0" applyFont="1" applyAlignment="1">
      <alignment vertical="top" wrapText="1"/>
    </xf>
    <xf numFmtId="0" fontId="34" fillId="0" borderId="0" xfId="0" applyFont="1" applyAlignment="1">
      <alignment horizontal="center" vertical="center"/>
    </xf>
    <xf numFmtId="1" fontId="19" fillId="0" borderId="26" xfId="0" applyNumberFormat="1" applyFont="1" applyBorder="1" applyAlignment="1">
      <alignment vertical="top" wrapText="1"/>
    </xf>
    <xf numFmtId="0" fontId="19" fillId="0" borderId="26" xfId="0" applyFont="1" applyBorder="1" applyAlignment="1">
      <alignment vertical="center" wrapText="1"/>
    </xf>
    <xf numFmtId="0" fontId="19" fillId="0" borderId="26" xfId="0" applyFont="1" applyBorder="1" applyAlignment="1">
      <alignment horizontal="center" vertical="center"/>
    </xf>
    <xf numFmtId="1" fontId="19" fillId="26" borderId="26" xfId="0" applyNumberFormat="1" applyFont="1" applyFill="1" applyBorder="1" applyAlignment="1">
      <alignment vertical="center" wrapText="1"/>
    </xf>
    <xf numFmtId="0" fontId="23" fillId="2" borderId="23" xfId="0" applyFont="1" applyFill="1" applyBorder="1" applyAlignment="1" applyProtection="1">
      <alignment vertical="center" wrapText="1"/>
      <protection locked="0"/>
    </xf>
    <xf numFmtId="1" fontId="19" fillId="0" borderId="23" xfId="1" applyNumberFormat="1" applyFont="1" applyFill="1" applyBorder="1" applyAlignment="1" applyProtection="1">
      <alignment vertical="center" wrapText="1"/>
      <protection locked="0"/>
    </xf>
    <xf numFmtId="1" fontId="20" fillId="2" borderId="25" xfId="1" applyNumberFormat="1" applyFont="1" applyFill="1" applyBorder="1" applyAlignment="1" applyProtection="1">
      <alignment vertical="center" wrapText="1"/>
      <protection locked="0"/>
    </xf>
    <xf numFmtId="0" fontId="19" fillId="2" borderId="0" xfId="0" applyFont="1" applyFill="1" applyAlignment="1" applyProtection="1">
      <alignment vertical="center" wrapText="1"/>
      <protection locked="0"/>
    </xf>
    <xf numFmtId="0" fontId="19" fillId="2" borderId="23" xfId="0" applyFont="1" applyFill="1" applyBorder="1" applyAlignment="1" applyProtection="1">
      <alignment horizontal="center" vertical="center" wrapText="1"/>
      <protection hidden="1"/>
    </xf>
    <xf numFmtId="1" fontId="20" fillId="2" borderId="23" xfId="1" applyNumberFormat="1" applyFont="1" applyFill="1" applyBorder="1" applyAlignment="1" applyProtection="1">
      <alignment horizontal="left" vertical="center" wrapText="1"/>
      <protection locked="0"/>
    </xf>
    <xf numFmtId="15" fontId="19" fillId="2" borderId="23" xfId="0" applyNumberFormat="1" applyFont="1" applyFill="1" applyBorder="1" applyAlignment="1" applyProtection="1">
      <alignment horizontal="center" vertical="center" wrapText="1"/>
      <protection locked="0"/>
    </xf>
    <xf numFmtId="1" fontId="20" fillId="0" borderId="25" xfId="1" applyNumberFormat="1" applyFont="1" applyFill="1" applyBorder="1" applyAlignment="1" applyProtection="1">
      <alignment vertical="center" wrapText="1"/>
      <protection locked="0"/>
    </xf>
    <xf numFmtId="1" fontId="20" fillId="0" borderId="23" xfId="1" applyNumberFormat="1" applyFont="1" applyFill="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20" fillId="2" borderId="23" xfId="0" applyFont="1" applyFill="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20" fillId="2" borderId="23" xfId="0" applyFont="1" applyFill="1" applyBorder="1" applyAlignment="1" applyProtection="1">
      <alignment horizontal="center" vertical="center" wrapText="1"/>
      <protection hidden="1"/>
    </xf>
    <xf numFmtId="1" fontId="20" fillId="0" borderId="23" xfId="1" applyNumberFormat="1" applyFont="1" applyFill="1" applyBorder="1" applyAlignment="1" applyProtection="1">
      <alignment horizontal="left" vertical="center" wrapText="1"/>
      <protection locked="0"/>
    </xf>
    <xf numFmtId="0" fontId="20" fillId="2" borderId="23" xfId="0" applyFont="1" applyFill="1" applyBorder="1" applyAlignment="1" applyProtection="1">
      <alignment horizontal="center" vertical="center" wrapText="1"/>
      <protection locked="0"/>
    </xf>
    <xf numFmtId="0" fontId="20" fillId="0" borderId="23" xfId="0" applyFont="1" applyBorder="1" applyAlignment="1" applyProtection="1">
      <alignment vertical="center" wrapText="1"/>
      <protection hidden="1"/>
    </xf>
    <xf numFmtId="0" fontId="20" fillId="2" borderId="23" xfId="0" applyFont="1" applyFill="1" applyBorder="1" applyAlignment="1" applyProtection="1">
      <alignment horizontal="center" vertical="center"/>
      <protection locked="0"/>
    </xf>
    <xf numFmtId="0" fontId="20" fillId="2" borderId="0" xfId="0" applyFont="1" applyFill="1" applyAlignment="1" applyProtection="1">
      <alignment vertical="center" wrapText="1"/>
      <protection locked="0"/>
    </xf>
    <xf numFmtId="0" fontId="20" fillId="0" borderId="23" xfId="0" applyFont="1" applyBorder="1" applyAlignment="1" applyProtection="1">
      <alignment horizontal="center" vertical="center"/>
      <protection locked="0"/>
    </xf>
    <xf numFmtId="0" fontId="23" fillId="0" borderId="26" xfId="0" applyFont="1" applyBorder="1" applyAlignment="1">
      <alignment horizontal="center" vertical="center" wrapText="1"/>
    </xf>
    <xf numFmtId="0" fontId="23" fillId="0" borderId="25" xfId="0" applyFont="1" applyBorder="1" applyAlignment="1" applyProtection="1">
      <alignment horizontal="center" vertical="center" wrapText="1"/>
      <protection locked="0"/>
    </xf>
    <xf numFmtId="0" fontId="23" fillId="2" borderId="23"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1" fontId="20" fillId="2" borderId="25" xfId="1" applyNumberFormat="1" applyFont="1" applyFill="1" applyBorder="1" applyAlignment="1" applyProtection="1">
      <alignment horizontal="center" vertical="center" wrapText="1"/>
      <protection locked="0"/>
    </xf>
    <xf numFmtId="1" fontId="20" fillId="0" borderId="25" xfId="1" applyNumberFormat="1" applyFont="1" applyFill="1" applyBorder="1" applyAlignment="1" applyProtection="1">
      <alignment horizontal="center" vertical="center" wrapText="1"/>
      <protection locked="0"/>
    </xf>
    <xf numFmtId="0" fontId="20" fillId="3" borderId="23" xfId="0" applyFont="1" applyFill="1" applyBorder="1" applyAlignment="1" applyProtection="1">
      <alignment horizontal="center" vertical="center" wrapText="1"/>
      <protection locked="0"/>
    </xf>
    <xf numFmtId="15" fontId="19" fillId="26" borderId="26" xfId="0" applyNumberFormat="1" applyFont="1" applyFill="1" applyBorder="1" applyAlignment="1">
      <alignment horizontal="center" vertical="center" wrapText="1"/>
    </xf>
    <xf numFmtId="15" fontId="19" fillId="0" borderId="26" xfId="0" applyNumberFormat="1" applyFont="1" applyBorder="1" applyAlignment="1">
      <alignment horizontal="center" vertical="center" wrapText="1"/>
    </xf>
    <xf numFmtId="15" fontId="20" fillId="2" borderId="23" xfId="0" applyNumberFormat="1" applyFont="1" applyFill="1" applyBorder="1" applyAlignment="1" applyProtection="1">
      <alignment horizontal="center" vertical="center" wrapText="1"/>
      <protection locked="0"/>
    </xf>
    <xf numFmtId="0" fontId="4" fillId="0" borderId="0" xfId="0" applyFont="1" applyProtection="1">
      <protection locked="0"/>
    </xf>
    <xf numFmtId="0" fontId="20" fillId="26" borderId="26" xfId="0" applyFont="1" applyFill="1" applyBorder="1" applyAlignment="1">
      <alignment horizontal="left" vertical="center" wrapText="1"/>
    </xf>
    <xf numFmtId="0" fontId="20" fillId="26" borderId="26" xfId="0" applyFont="1" applyFill="1" applyBorder="1" applyAlignment="1">
      <alignment vertical="center" wrapText="1"/>
    </xf>
    <xf numFmtId="0" fontId="20" fillId="0" borderId="26" xfId="0" applyFont="1" applyBorder="1" applyAlignment="1">
      <alignment vertical="center" wrapText="1"/>
    </xf>
    <xf numFmtId="0" fontId="4" fillId="0" borderId="0" xfId="0" applyFont="1" applyAlignment="1" applyProtection="1">
      <alignment horizontal="center"/>
      <protection locked="0"/>
    </xf>
    <xf numFmtId="15" fontId="20" fillId="2" borderId="23" xfId="0" applyNumberFormat="1" applyFont="1" applyFill="1" applyBorder="1" applyAlignment="1" applyProtection="1">
      <alignment horizontal="center" vertical="center"/>
      <protection locked="0"/>
    </xf>
    <xf numFmtId="15" fontId="20" fillId="0" borderId="23" xfId="0" applyNumberFormat="1" applyFont="1" applyBorder="1" applyAlignment="1" applyProtection="1">
      <alignment horizontal="center" vertical="center"/>
      <protection locked="0"/>
    </xf>
    <xf numFmtId="0" fontId="20" fillId="26" borderId="26" xfId="0" applyFont="1" applyFill="1" applyBorder="1" applyAlignment="1">
      <alignment horizontal="center" vertical="center"/>
    </xf>
    <xf numFmtId="15" fontId="20" fillId="26" borderId="26" xfId="0" applyNumberFormat="1" applyFont="1" applyFill="1" applyBorder="1" applyAlignment="1">
      <alignment horizontal="center" vertical="center"/>
    </xf>
    <xf numFmtId="0" fontId="20" fillId="26" borderId="26" xfId="0" applyFont="1" applyFill="1" applyBorder="1" applyAlignment="1">
      <alignment horizontal="center" vertical="center" wrapText="1"/>
    </xf>
    <xf numFmtId="0" fontId="20" fillId="7" borderId="23" xfId="0" applyFont="1" applyFill="1" applyBorder="1" applyAlignment="1" applyProtection="1">
      <alignment horizontal="center" vertical="center"/>
      <protection locked="0"/>
    </xf>
    <xf numFmtId="164" fontId="20" fillId="7" borderId="23" xfId="0" applyNumberFormat="1" applyFont="1" applyFill="1" applyBorder="1" applyAlignment="1" applyProtection="1">
      <alignment horizontal="center" vertical="center"/>
      <protection locked="0"/>
    </xf>
    <xf numFmtId="0" fontId="20" fillId="7" borderId="23" xfId="0" applyFont="1" applyFill="1" applyBorder="1" applyAlignment="1" applyProtection="1">
      <alignment horizontal="center" vertical="center" wrapText="1"/>
      <protection locked="0"/>
    </xf>
    <xf numFmtId="1" fontId="20" fillId="7" borderId="23" xfId="1" applyNumberFormat="1" applyFont="1" applyFill="1" applyBorder="1" applyAlignment="1" applyProtection="1">
      <alignment vertical="top" wrapText="1"/>
      <protection locked="0"/>
    </xf>
    <xf numFmtId="1" fontId="20" fillId="7" borderId="23" xfId="1" applyNumberFormat="1" applyFont="1" applyFill="1" applyBorder="1" applyAlignment="1" applyProtection="1">
      <alignment horizontal="center" vertical="top" wrapText="1"/>
      <protection locked="0"/>
    </xf>
    <xf numFmtId="164" fontId="20" fillId="7" borderId="23" xfId="0" applyNumberFormat="1" applyFont="1" applyFill="1" applyBorder="1" applyAlignment="1" applyProtection="1">
      <alignment horizontal="center" vertical="center" wrapText="1"/>
      <protection locked="0"/>
    </xf>
    <xf numFmtId="0" fontId="20" fillId="7" borderId="23" xfId="0" applyFont="1" applyFill="1" applyBorder="1" applyAlignment="1" applyProtection="1">
      <alignment vertical="center" wrapText="1"/>
      <protection locked="0"/>
    </xf>
    <xf numFmtId="0" fontId="20" fillId="7" borderId="23" xfId="0" applyFont="1" applyFill="1" applyBorder="1" applyAlignment="1" applyProtection="1">
      <alignment horizontal="center" vertical="center" wrapText="1"/>
      <protection hidden="1"/>
    </xf>
    <xf numFmtId="0" fontId="4" fillId="0" borderId="14" xfId="0" applyFont="1" applyBorder="1" applyProtection="1">
      <protection locked="0"/>
    </xf>
    <xf numFmtId="0" fontId="19" fillId="27" borderId="26" xfId="0" applyFont="1" applyFill="1" applyBorder="1" applyAlignment="1">
      <alignment horizontal="center" vertical="center" wrapText="1"/>
    </xf>
    <xf numFmtId="0" fontId="23" fillId="27" borderId="26" xfId="0" applyFont="1" applyFill="1" applyBorder="1" applyAlignment="1">
      <alignment horizontal="center" vertical="center" wrapText="1"/>
    </xf>
    <xf numFmtId="1" fontId="23" fillId="26" borderId="26" xfId="0" applyNumberFormat="1" applyFont="1" applyFill="1" applyBorder="1" applyAlignment="1">
      <alignment horizontal="center" vertical="center" wrapText="1"/>
    </xf>
    <xf numFmtId="0" fontId="23" fillId="0" borderId="27" xfId="0" applyFont="1" applyBorder="1" applyAlignment="1">
      <alignment vertical="center" wrapText="1"/>
    </xf>
    <xf numFmtId="1" fontId="19" fillId="26" borderId="27" xfId="0" applyNumberFormat="1" applyFont="1" applyFill="1" applyBorder="1" applyAlignment="1">
      <alignment vertical="center" wrapText="1"/>
    </xf>
    <xf numFmtId="0" fontId="19" fillId="0" borderId="27" xfId="0" applyFont="1" applyBorder="1" applyAlignment="1">
      <alignment vertical="center" wrapText="1"/>
    </xf>
    <xf numFmtId="0" fontId="32" fillId="26" borderId="27" xfId="0" applyFont="1" applyFill="1" applyBorder="1" applyAlignment="1">
      <alignment horizontal="center" vertical="center"/>
    </xf>
    <xf numFmtId="0" fontId="19" fillId="26" borderId="27" xfId="0" applyFont="1" applyFill="1" applyBorder="1" applyAlignment="1">
      <alignment horizontal="center" vertical="center"/>
    </xf>
    <xf numFmtId="1" fontId="19" fillId="27" borderId="27" xfId="0" applyNumberFormat="1" applyFont="1" applyFill="1" applyBorder="1" applyAlignment="1">
      <alignment horizontal="center" vertical="center" wrapText="1"/>
    </xf>
    <xf numFmtId="0" fontId="19" fillId="26" borderId="27" xfId="0" applyFont="1" applyFill="1" applyBorder="1" applyAlignment="1">
      <alignment horizontal="center" vertical="center" wrapText="1"/>
    </xf>
    <xf numFmtId="15" fontId="19" fillId="26" borderId="27" xfId="0" applyNumberFormat="1" applyFont="1" applyFill="1" applyBorder="1" applyAlignment="1">
      <alignment vertical="center" wrapText="1"/>
    </xf>
    <xf numFmtId="0" fontId="19" fillId="26" borderId="27" xfId="0" applyFont="1" applyFill="1" applyBorder="1" applyAlignment="1">
      <alignment vertical="center" wrapText="1"/>
    </xf>
    <xf numFmtId="0" fontId="19" fillId="0" borderId="27" xfId="0" applyFont="1" applyBorder="1" applyAlignment="1">
      <alignment horizontal="center" vertical="center" wrapText="1"/>
    </xf>
    <xf numFmtId="1" fontId="19" fillId="26" borderId="27" xfId="0" applyNumberFormat="1" applyFont="1" applyFill="1" applyBorder="1" applyAlignment="1">
      <alignment vertical="top" wrapText="1"/>
    </xf>
    <xf numFmtId="1" fontId="19" fillId="27" borderId="27" xfId="0" applyNumberFormat="1" applyFont="1" applyFill="1" applyBorder="1" applyAlignment="1">
      <alignment vertical="center" wrapText="1"/>
    </xf>
    <xf numFmtId="0" fontId="19" fillId="27" borderId="27" xfId="0" applyFont="1" applyFill="1" applyBorder="1" applyAlignment="1">
      <alignment horizontal="center" vertical="center" wrapText="1"/>
    </xf>
    <xf numFmtId="0" fontId="23" fillId="26" borderId="26" xfId="0" applyFont="1" applyFill="1" applyBorder="1" applyAlignment="1">
      <alignment horizontal="center" vertical="center" wrapText="1"/>
    </xf>
    <xf numFmtId="0" fontId="23" fillId="28" borderId="23" xfId="0" applyFont="1" applyFill="1" applyBorder="1" applyAlignment="1">
      <alignment horizontal="center" vertical="center" wrapText="1"/>
    </xf>
    <xf numFmtId="0" fontId="23" fillId="28" borderId="23" xfId="0" applyFont="1" applyFill="1" applyBorder="1" applyAlignment="1">
      <alignment vertical="center" wrapText="1"/>
    </xf>
    <xf numFmtId="0" fontId="23" fillId="28" borderId="28" xfId="0" applyFont="1" applyFill="1" applyBorder="1" applyAlignment="1">
      <alignment horizontal="center" vertical="center" wrapText="1"/>
    </xf>
    <xf numFmtId="0" fontId="23" fillId="28" borderId="28" xfId="0" applyFont="1" applyFill="1" applyBorder="1" applyAlignment="1">
      <alignment vertical="center" wrapText="1"/>
    </xf>
    <xf numFmtId="0" fontId="20" fillId="25" borderId="23" xfId="0" applyFont="1" applyFill="1" applyBorder="1" applyAlignment="1" applyProtection="1">
      <alignment horizontal="center" vertical="center" wrapText="1"/>
      <protection hidden="1"/>
    </xf>
    <xf numFmtId="1" fontId="35" fillId="2" borderId="23" xfId="5" applyNumberFormat="1" applyFill="1" applyBorder="1" applyAlignment="1" applyProtection="1">
      <alignment horizontal="center" vertical="center" wrapText="1"/>
      <protection locked="0"/>
    </xf>
    <xf numFmtId="0" fontId="22" fillId="30" borderId="23" xfId="0" applyFont="1" applyFill="1" applyBorder="1" applyAlignment="1" applyProtection="1">
      <alignment horizontal="center" vertical="center" wrapText="1"/>
      <protection locked="0"/>
    </xf>
    <xf numFmtId="0" fontId="21" fillId="30" borderId="24" xfId="0" applyFont="1" applyFill="1" applyBorder="1" applyAlignment="1" applyProtection="1">
      <alignment horizontal="center" vertical="center" wrapText="1"/>
      <protection locked="0"/>
    </xf>
    <xf numFmtId="0" fontId="12" fillId="30" borderId="23" xfId="2"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3" fillId="0" borderId="27" xfId="0" applyFont="1" applyBorder="1" applyAlignment="1">
      <alignment horizontal="center" vertical="center" wrapText="1"/>
    </xf>
    <xf numFmtId="0" fontId="8" fillId="0" borderId="0" xfId="0" applyFont="1" applyAlignment="1" applyProtection="1">
      <alignment horizontal="center" vertical="center"/>
      <protection locked="0"/>
    </xf>
    <xf numFmtId="1" fontId="19" fillId="26" borderId="27" xfId="0" applyNumberFormat="1" applyFont="1" applyFill="1" applyBorder="1" applyAlignment="1">
      <alignment horizontal="center" vertical="center" wrapText="1"/>
    </xf>
    <xf numFmtId="1" fontId="20" fillId="7" borderId="23" xfId="1" applyNumberFormat="1" applyFont="1" applyFill="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1" fontId="19" fillId="2" borderId="23" xfId="1"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10" fillId="3" borderId="0" xfId="0" applyFont="1" applyFill="1" applyAlignment="1" applyProtection="1">
      <alignment horizontal="center" vertical="center" wrapText="1"/>
      <protection locked="0"/>
    </xf>
    <xf numFmtId="15" fontId="19" fillId="2" borderId="23" xfId="0" applyNumberFormat="1" applyFont="1" applyFill="1" applyBorder="1" applyAlignment="1" applyProtection="1">
      <alignment horizontal="center" vertical="center"/>
      <protection locked="0"/>
    </xf>
    <xf numFmtId="15" fontId="19" fillId="26" borderId="27" xfId="0" applyNumberFormat="1" applyFont="1" applyFill="1" applyBorder="1" applyAlignment="1">
      <alignment horizontal="center" vertical="center"/>
    </xf>
    <xf numFmtId="15" fontId="19" fillId="26" borderId="26" xfId="0" applyNumberFormat="1" applyFont="1" applyFill="1" applyBorder="1" applyAlignment="1">
      <alignment horizontal="center" vertical="center"/>
    </xf>
    <xf numFmtId="1" fontId="20" fillId="26" borderId="26" xfId="0" applyNumberFormat="1" applyFont="1" applyFill="1" applyBorder="1" applyAlignment="1">
      <alignment horizontal="center" vertical="center" wrapText="1"/>
    </xf>
    <xf numFmtId="0" fontId="33" fillId="0" borderId="0" xfId="0" applyFont="1" applyAlignment="1">
      <alignment horizontal="center" vertical="center" wrapText="1"/>
    </xf>
    <xf numFmtId="1" fontId="19" fillId="0" borderId="26" xfId="0" applyNumberFormat="1" applyFont="1" applyBorder="1" applyAlignment="1">
      <alignment horizontal="center" vertical="center" wrapText="1"/>
    </xf>
    <xf numFmtId="0" fontId="8" fillId="0" borderId="0" xfId="0" applyFont="1" applyProtection="1">
      <protection locked="0"/>
    </xf>
    <xf numFmtId="0" fontId="3" fillId="0" borderId="10"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8" fillId="0" borderId="0" xfId="0" applyFont="1" applyAlignment="1" applyProtection="1">
      <alignment horizontal="center"/>
      <protection locked="0"/>
    </xf>
    <xf numFmtId="0" fontId="3" fillId="0" borderId="0" xfId="0" applyFont="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8" fillId="0" borderId="0" xfId="0" applyFont="1" applyAlignment="1" applyProtection="1">
      <alignment vertical="center"/>
      <protection locked="0"/>
    </xf>
    <xf numFmtId="0" fontId="8" fillId="3" borderId="0" xfId="0" applyFont="1" applyFill="1" applyProtection="1">
      <protection locked="0"/>
    </xf>
    <xf numFmtId="0" fontId="22" fillId="30" borderId="23" xfId="0" applyFont="1" applyFill="1" applyBorder="1" applyAlignment="1" applyProtection="1">
      <alignment horizontal="center" vertical="center"/>
      <protection locked="0"/>
    </xf>
    <xf numFmtId="0" fontId="12" fillId="30" borderId="23" xfId="0" applyFont="1" applyFill="1" applyBorder="1" applyAlignment="1" applyProtection="1">
      <alignment horizontal="center" vertical="center" wrapText="1"/>
      <protection locked="0"/>
    </xf>
    <xf numFmtId="0" fontId="10" fillId="0" borderId="0" xfId="0" applyFont="1" applyAlignment="1" applyProtection="1">
      <alignment vertical="center"/>
      <protection locked="0"/>
    </xf>
    <xf numFmtId="0" fontId="31" fillId="29" borderId="0" xfId="0" applyFont="1" applyFill="1" applyAlignment="1" applyProtection="1">
      <alignment horizontal="center" vertical="center" wrapText="1"/>
      <protection locked="0"/>
    </xf>
    <xf numFmtId="0" fontId="31" fillId="29" borderId="0" xfId="0" applyFont="1" applyFill="1" applyAlignment="1" applyProtection="1">
      <alignment horizontal="center" vertical="center"/>
      <protection locked="0"/>
    </xf>
    <xf numFmtId="0" fontId="3" fillId="0" borderId="8"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8" fillId="0" borderId="30"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21" fillId="30" borderId="23" xfId="0" applyFont="1" applyFill="1" applyBorder="1" applyAlignment="1" applyProtection="1">
      <alignment horizontal="center" vertical="center" wrapText="1"/>
      <protection locked="0"/>
    </xf>
    <xf numFmtId="0" fontId="3" fillId="0" borderId="29" xfId="0" applyFont="1" applyBorder="1" applyAlignment="1" applyProtection="1">
      <alignment horizontal="left" vertical="top" wrapText="1"/>
      <protection locked="0"/>
    </xf>
    <xf numFmtId="0" fontId="14" fillId="6" borderId="20" xfId="3" applyFont="1" applyFill="1" applyBorder="1" applyAlignment="1" applyProtection="1">
      <alignment horizontal="center" vertical="center" wrapText="1"/>
    </xf>
    <xf numFmtId="0" fontId="14" fillId="6" borderId="1" xfId="3" applyFont="1" applyFill="1" applyBorder="1" applyAlignment="1" applyProtection="1">
      <alignment horizontal="center" vertical="center" wrapText="1"/>
    </xf>
    <xf numFmtId="0" fontId="14" fillId="6" borderId="20" xfId="4" applyFont="1" applyFill="1" applyBorder="1" applyAlignment="1">
      <alignment horizontal="center" vertical="center"/>
    </xf>
    <xf numFmtId="0" fontId="16" fillId="0" borderId="1" xfId="4" applyFont="1" applyBorder="1" applyAlignment="1">
      <alignment horizontal="center" vertical="center" wrapText="1"/>
    </xf>
    <xf numFmtId="0" fontId="16" fillId="0" borderId="1" xfId="4" applyFont="1" applyBorder="1" applyAlignment="1">
      <alignment horizontal="center" vertical="center"/>
    </xf>
    <xf numFmtId="0" fontId="18" fillId="0" borderId="12" xfId="4" applyFont="1" applyBorder="1" applyAlignment="1">
      <alignment horizontal="center" vertical="center"/>
    </xf>
    <xf numFmtId="0" fontId="18" fillId="0" borderId="12" xfId="4" applyFont="1" applyBorder="1" applyAlignment="1">
      <alignment horizontal="center" vertical="center" wrapText="1"/>
    </xf>
  </cellXfs>
  <cellStyles count="6">
    <cellStyle name="Énfasis6" xfId="2" builtinId="49"/>
    <cellStyle name="Hipervínculo" xfId="5" builtinId="8"/>
    <cellStyle name="Normal" xfId="0" builtinId="0"/>
    <cellStyle name="Normal 2" xfId="4" xr:uid="{00000000-0005-0000-0000-000003000000}"/>
    <cellStyle name="Porcentaje 2" xfId="1" xr:uid="{00000000-0005-0000-0000-000004000000}"/>
    <cellStyle name="Texto explicativo 2" xfId="3" xr:uid="{00000000-0005-0000-0000-000005000000}"/>
  </cellStyles>
  <dxfs count="1">
    <dxf>
      <font>
        <color rgb="FF9C0006"/>
      </font>
      <fill>
        <patternFill>
          <bgColor rgb="FFFFC7CE"/>
        </patternFill>
      </fill>
    </dxf>
  </dxfs>
  <tableStyles count="0" defaultTableStyle="TableStyleMedium2" defaultPivotStyle="PivotStyleLight16"/>
  <colors>
    <mruColors>
      <color rgb="FFCCCCFF"/>
      <color rgb="FFFF7C80"/>
      <color rgb="FF66FF33"/>
      <color rgb="FF66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2200219693%20%20MATRIZ%20INVENTARIO%20ACTIVOS%20DE%20INFORMACI&#211;N%202023%20VF%20-%20FOMENT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9300304623%20%20MATRIZ%20INVENTARIO%20ACTIVOS%20DE%20INFORMACI&#211;N%202023%20VF%20Transformaciones%20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3100303053%20MATRIZ%20INVENTARIO%20ACTIVOS%20DE%20INFORMACI&#211;N%202023%20VF%20Arte%20Cultura%20y%20P.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sus/OneDrive/Escritorio/YFGG/SCRD/SCRD%202023/Activos%20de%20Informacion/2023/VF_SGCA_Matriz%20de%20Activos%20de%20Informacion%20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3100303063%20%20MATRIZ%20INVENTARIO%20ACTIVOS%20DE%20INFORMACI&#211;N%202023%20VF%20Infraestrctura%20y%20P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3100311083%20%20MATRIZ%20INVENTARIO%20ACTIVOS%20DE%20INFORMACI&#211;N%202023%20VF%20G.%20Cultural%20y%20Artistic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V/20231100338343%20MATRIZ%20INVENTARIO%20ACTIVOS%20DE%20INFORMACI&#211;N%202023%20VF%20Of.%20Jur&#237;dic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V/20232300338453%20MATRIZ%20INVENTARIO%20ACTIVOS%20DE%20INFORMACI&#211;N%202023%20VF%20Personas%20Jur&#237;dica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Matriz%20de%20Activos%20de%20Informaci&#243;n%202023%20SCRD_Despach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9100340673%20%20MATRIZ%20INVENTARIO%20ACTIVOS%20DE%20INFORMACI&#211;N%202023%20VF%20Observatorio%20y%20Gest.%20C.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I/20239000301563%20MATRIZ%20INVENTARIO%20ACTIVOS%20DE%20INFORMACI&#211;N%202023%20VF%20Cultura%20Ciudadana%20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2100222703%20%20MATRIZ%20INVENTARIO%20ACTIVOS%20DE%20INFORMACI&#211;N%202023%20VF%20Asuntos%20Locales%20Y%20Participaci&#243;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V/Matriz%20de%20Activos%20de%20Informaci&#243;n%202023%20SCRD%20OTI.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User/Downloads/20237100515373_00002%20(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7000215993%20%20MATRIZ%20INVENTARIO%20ACTIVOS%20DE%20INFORMACI&#211;N%202023%20VF%20-%20OCI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8000225593%20MATRIZ%20INVENTARIO%20ACTIVOS%20DE%20INFORMACI&#211;N%202023%20VF%20Direcci&#243;n%20De%20Bibliotecas%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1200216143%20%20MATRIZ%20INVENTARIO%20ACTIVOS%20DE%20INFORMACI&#211;N%202023%20VF%20Comunicacion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20231400216273%20MATRIZ%20INVENTARIO%20ACTIVOS%20DE%20INFORMACI&#211;N%202023%20VF%20CONTROL%20INTER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20237200300943%20MATRIZ%20INVENTARIO%20ACTIVOS%20DE%20INFORMACI&#211;N%202023%20VF%20Financie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120237600261193%20MATRIZ%20INVENTARIO%20ACTIVOS%20DE%20INFORMACI&#211;N%202023%20VF%20CONTRATA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er/Documents/SCRD%202023/Activos%20de%20Informaci&#243;n%202023/FASE%20II/20237100262103%20MATRIZ%20INVENTARIO%20ACTIVOS%20DE%20INFORMACI&#211;N%202023%20VF%20SERV.%20ADMINISTRATIV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ownloads/Matriz%20de%20Activos%20de%20Informacio&#769;n%202023%20Gesti&#243;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refreshError="1"/>
      <sheetData sheetId="1" refreshError="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Hoja1"/>
      <sheetName val="Tipologías"/>
    </sheetNames>
    <sheetDataSet>
      <sheetData sheetId="0"/>
      <sheetData sheetId="1"/>
      <sheetData sheetId="2">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sheetData sheetId="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cell r="E17"/>
          <cell r="F17"/>
          <cell r="G17"/>
        </row>
        <row r="21">
          <cell r="A21" t="str">
            <v>1) PÚBLICO EN GENERAL</v>
          </cell>
          <cell r="B21" t="str">
            <v>PÚBLICA</v>
          </cell>
          <cell r="C21" t="str">
            <v>BAJO</v>
          </cell>
        </row>
        <row r="22">
          <cell r="A22" t="str">
            <v>2) INTERNO DE LA ENTIDAD</v>
          </cell>
          <cell r="B22" t="str">
            <v>GENERAL (uso interno)</v>
          </cell>
          <cell r="C22" t="str">
            <v>MEDIO</v>
          </cell>
        </row>
        <row r="23">
          <cell r="A23" t="str">
            <v>3) PROCESOS</v>
          </cell>
          <cell r="B23" t="str">
            <v>CLASIFICADA</v>
          </cell>
          <cell r="C23" t="str">
            <v>ALTO</v>
          </cell>
        </row>
        <row r="24">
          <cell r="A24" t="str">
            <v>4) ALTA DIRECCIÓN</v>
          </cell>
          <cell r="B24" t="str">
            <v>RESERVADA</v>
          </cell>
          <cell r="C24" t="str">
            <v>ALTO</v>
          </cell>
        </row>
        <row r="29">
          <cell r="A29" t="str">
            <v>1) INSIGNIFICANTE</v>
          </cell>
          <cell r="B29">
            <v>1</v>
          </cell>
          <cell r="C29" t="str">
            <v>BAJO</v>
          </cell>
        </row>
        <row r="30">
          <cell r="A30" t="str">
            <v>2) MENOR</v>
          </cell>
          <cell r="B30">
            <v>2</v>
          </cell>
          <cell r="C30" t="str">
            <v>BAJO</v>
          </cell>
        </row>
        <row r="31">
          <cell r="A31" t="str">
            <v>3) MODERADO</v>
          </cell>
          <cell r="B31">
            <v>3</v>
          </cell>
          <cell r="C31" t="str">
            <v>MEDIO</v>
          </cell>
        </row>
        <row r="32">
          <cell r="A32" t="str">
            <v>4) MAYOR</v>
          </cell>
          <cell r="B32">
            <v>4</v>
          </cell>
          <cell r="C32" t="str">
            <v>ALTO</v>
          </cell>
        </row>
        <row r="33">
          <cell r="A33" t="str">
            <v>5) CATASTRÓFICO</v>
          </cell>
          <cell r="B33">
            <v>5</v>
          </cell>
          <cell r="C33" t="str">
            <v>ALTO</v>
          </cell>
        </row>
        <row r="38">
          <cell r="A38" t="str">
            <v>1) NO APLICA / NO ES RELEVANTE</v>
          </cell>
          <cell r="B38">
            <v>0</v>
          </cell>
        </row>
        <row r="39">
          <cell r="A39" t="str">
            <v>2) ES CRÍTICO PARA LAS OPERACIONES INTERNAS</v>
          </cell>
          <cell r="B39">
            <v>0.5</v>
          </cell>
        </row>
        <row r="40">
          <cell r="A40" t="str">
            <v>3) PODRÍA AFECTAR LA TOMA DE DECISIONES</v>
          </cell>
          <cell r="B40">
            <v>1</v>
          </cell>
        </row>
        <row r="41">
          <cell r="A41" t="str">
            <v>4) ES CRÍTICO PARA EL SERVICIO HACIA TERCEROS</v>
          </cell>
          <cell r="B41">
            <v>1.5</v>
          </cell>
        </row>
        <row r="42">
          <cell r="A42" t="str">
            <v>5) PUEDE GENERAR INCUMPLIMIENTOS LEGALES Y REGLAMENTARIOS</v>
          </cell>
          <cell r="B42">
            <v>2</v>
          </cell>
        </row>
        <row r="46">
          <cell r="A46" t="str">
            <v>1) 4 HORAS</v>
          </cell>
          <cell r="B46">
            <v>2.5</v>
          </cell>
        </row>
        <row r="47">
          <cell r="A47" t="str">
            <v>2) 8 HORAS</v>
          </cell>
          <cell r="B47">
            <v>2.25</v>
          </cell>
        </row>
        <row r="48">
          <cell r="A48" t="str">
            <v>3) 24 HORAS</v>
          </cell>
          <cell r="B48">
            <v>2</v>
          </cell>
        </row>
        <row r="49">
          <cell r="A49" t="str">
            <v>4) 48 HORAS</v>
          </cell>
          <cell r="B49">
            <v>1.5</v>
          </cell>
        </row>
        <row r="50">
          <cell r="A50" t="str">
            <v>5) 7 DÍAS</v>
          </cell>
          <cell r="B50">
            <v>1.25</v>
          </cell>
        </row>
        <row r="51">
          <cell r="A51" t="str">
            <v>6) 14 DÍAS</v>
          </cell>
          <cell r="B51">
            <v>1</v>
          </cell>
        </row>
        <row r="52">
          <cell r="A52" t="str">
            <v>7) 30 DÍAS</v>
          </cell>
          <cell r="B52">
            <v>0.5</v>
          </cell>
        </row>
        <row r="53">
          <cell r="A53" t="str">
            <v>8) &gt;30 DÍAS</v>
          </cell>
          <cell r="B53">
            <v>0.25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Tipologías"/>
    </sheetNames>
    <sheetDataSet>
      <sheetData sheetId="0" refreshError="1"/>
      <sheetData sheetId="1" refreshError="1">
        <row r="3">
          <cell r="B3" t="str">
            <v>1) INFORMACIÓN PÚBLICA</v>
          </cell>
          <cell r="C3" t="str">
            <v>BAJO</v>
          </cell>
          <cell r="D3" t="str">
            <v>LEY 1712 DE 2014 LEY DE TRANSPARENCIA Y DERECHO DE ACCESO A LA INFORMACIÓN. ARTÍCULO 6 DEFINICIONES LITERAL B.</v>
          </cell>
          <cell r="E3" t="str">
            <v>INFORMACIÓN PÚBLICA</v>
          </cell>
          <cell r="F3" t="str">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ell>
          <cell r="G3" t="str">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ell>
        </row>
        <row r="4">
          <cell r="B4" t="str">
            <v>2) DATOS PERSONALES</v>
          </cell>
          <cell r="C4" t="str">
            <v>ALTO</v>
          </cell>
          <cell r="D4" t="str">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ell>
          <cell r="E4" t="str">
            <v>INFORMACIÓN PÚBLICA CLASIFICADA</v>
          </cell>
          <cell r="F4" t="str">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ell>
          <cell r="G4" t="str">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ell>
        </row>
        <row r="5">
          <cell r="B5" t="str">
            <v>3) AFECTACIÓN A LA VIDA, LA SALUD O LA SEGURIDAD DE UNA PERSONA</v>
          </cell>
          <cell r="C5" t="str">
            <v>ALTO</v>
          </cell>
          <cell r="D5" t="str">
            <v>LEY 1712 DE 2014, ARTÍCULO 18 CORREGIDO POR EL ARTÍCULO 2 DEL DECRETO LEY 1494 DE 2015. INFORMACIÓN EXCEPTUADA POR DAÑO DE DERECHOS A PERSONAS NATURALES O JURÍDICAS, LITERAL B "EL DERECHO DE TODA PERSONA A LA VIDA, LA SALUD O LA SEGURIDAD."</v>
          </cell>
          <cell r="E5" t="str">
            <v>INFORMACIÓN PÚBLICA CLASIFICADA</v>
          </cell>
          <cell r="F5" t="str">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ell>
          <cell r="G5" t="str">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ell>
        </row>
        <row r="6">
          <cell r="B6" t="str">
            <v>4) SECRETOS COMERCIALES, INDUSTRIALES Y PROFESIONALES</v>
          </cell>
          <cell r="C6" t="str">
            <v>ALTO</v>
          </cell>
          <cell r="D6" t="str">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ell>
          <cell r="E6" t="str">
            <v>INFORMACIÓN PÚBLICA CLASIFICADA</v>
          </cell>
          <cell r="F6" t="str">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ell>
          <cell r="G6" t="str">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ell>
        </row>
        <row r="7">
          <cell r="B7" t="str">
            <v>5) LA DEFENSA Y SEGURIDAD NACIONAL</v>
          </cell>
          <cell r="C7" t="str">
            <v>ALTO</v>
          </cell>
          <cell r="D7" t="str">
            <v>LEY 1712   DE 2014  ARTÍCULO 19 LITERAL A "LA DEFENSA Y SEGURIDAD NACIONAL."</v>
          </cell>
          <cell r="E7" t="str">
            <v>INFORMACIÓN PÚBLICA RESERVADA</v>
          </cell>
          <cell r="F7" t="str">
            <v>LEY 1712 DE 2014 ARTÍCULO 6 LITERAL D. INFORMACIÓN PÚBLICA RESERVADA. ES AQUELLA INFORMACIÓN QUE ESTANDO EN PODER O CUSTODIA DEL SUJETO OBLIGADO EN SU CALIDAD DE TAL, ES EXCEPTUADA DE ACCESO A LA CIUDADANÍA POR DAÑO A INTERESES PÚBLICOS Y BAJO CUMPLIMIENTO DE LA TOTALIDAD DE LOS REQUISITOS CONSAGRADOS EN EL ARTÍCULO 19 DE ESTA LEY
ARTÍCULO 24 LEY 1437 DE 2011 CPACA - SUSTITUIDO POR EL ARTÍCULO 1 DE LA LEY 1755 DE 2015 - DERECHO PETICIÓN ANTE AUTORIDADES – REGLAS ESPECIALES INFORMACIÓN Y DOCUMENTOS RESERVADOS – 1. RELACIONADOS CON LA DEFENSA O SEGURIDAD NACIONAL.</v>
          </cell>
          <cell r="G7" t="str">
            <v>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EN UNA NORMA LEGAL O CONSTITUCIONAL: A) LA DEFENSA Y SEGURIDAD NACIONAL; B) LA SEGURIDAD PÚBLICA; C) LAS RELACIONES INTERNACIONALES; D) LA PREVENCIÓN, INVESTIGACIÓN Y PERSECUCIÓN DE LOS DELITOS Y LAS FALLAS DISCIPLINARIAS, MIENTRAS QUE NO SE HAGA LA MEDIDA DE ASEGURAMIENTO O SE FORMULE PLIEGO DE CARGOS, SEGÚN SEA EL CASO; E) EL DEBIDO PROCESO Y LA IGUALDAD DE LAS PARTES EN LOS PROCESOS JUDICIALES; F) LA ADMINISTRACIÓN EFECTIVA DE JUSTICIA; G) LOS DERECHOS DE LA INFANCIA Y LA ADOLESCENCIA; H) LA ESTABILIDAD MACROECONÓMICA Y FINANCIERA DEL PAÍS; I) LA SALUD PÚBLICA. PARÁGRAFO: SE EXCEPTÚAN TAMBIÉN LOS DOCUMENTOS QUE CONTENGAN LAS OPINIONES O PUNTOS DE VISTA QUE FORMEN PARTE DEL PROCESO DELIBERATORIO DE LOS SERVIDORES PÚBLICOS.</v>
          </cell>
        </row>
        <row r="8">
          <cell r="B8" t="str">
            <v>6) LA SEGURIDAD PÚBLICA</v>
          </cell>
          <cell r="C8" t="str">
            <v>ALTO</v>
          </cell>
          <cell r="D8" t="str">
            <v>LEY 1712   DE 2014, ARTÍCULO 19 LITERAL B "LA SEGURIDAD PÚBLICA."</v>
          </cell>
          <cell r="E8" t="str">
            <v>INFORMACIÓN PÚBLICA RESERVADA</v>
          </cell>
          <cell r="F8" t="str">
            <v>LEY 1712   DE 2014, ARTÍCULO 19 LITERAL B "LA SEGURIDAD PÚBLICA."</v>
          </cell>
          <cell r="G8" t="str">
            <v xml:space="preserve">LEY 1712 DE 2014 ARTÍCULO 19  </v>
          </cell>
        </row>
        <row r="9">
          <cell r="B9" t="str">
            <v>7) LAS RELACIONES INTERNACIONALES</v>
          </cell>
          <cell r="C9" t="str">
            <v>ALTO</v>
          </cell>
          <cell r="D9" t="str">
            <v>LEY 1712   DE 2014 ARTÍCULO 19 LITERAL C "LAS RELACIONES INTERNACIONALES."</v>
          </cell>
          <cell r="E9" t="str">
            <v>INFORMACIÓN PÚBLICA RESERVADA</v>
          </cell>
          <cell r="F9" t="str">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ell>
          <cell r="G9" t="str">
            <v xml:space="preserve">LEY 1712 DE 2014 ARTÍCULO 19  </v>
          </cell>
        </row>
        <row r="10">
          <cell r="B10" t="str">
            <v>8) LA PREVENCIÓN, INVESTIGACIÓN Y PERSECUCIÓN DE LOS DELITOS Y LAS FALTAS DISCIPLINARIAS</v>
          </cell>
          <cell r="C10" t="str">
            <v>ALTO</v>
          </cell>
          <cell r="D10" t="str">
            <v>LEY 1712  DE 2014,  ARTÍCULO 19 LITERAL D "LA PREVENCIÓN, INVESTIGACIÓN Y PERSECUCIÓN DE LOS DELITOS Y LAS FALTAS DISCIPLINARIAS, MIENTRAS QUE NO SE HAGA EFECTIVA LA MEDIDA DE ASEGURAMIENTO O SE FORMULE PLIEGO DE CARGOS, SEGÚN EL CASO."</v>
          </cell>
          <cell r="E10" t="str">
            <v>INFORMACIÓN PÚBLICA RESERVADA</v>
          </cell>
          <cell r="F10" t="str">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ell>
          <cell r="G10" t="str">
            <v>LEY 1952 DE 2019 ARTÍCULO 115 HASTA CUANDO SE CITE A LA AUDIENCIA Y SE FORMULE PLIEGO DE CARGOS O SE EMITA LA PROVIDENCIA QUE ORDENE EL ARCHIVO DEFINITIVO.</v>
          </cell>
        </row>
        <row r="11">
          <cell r="B11" t="str">
            <v>9) EL DEBIDO PROCESO Y LA IGUALDAD DE LAS PARTES EN LOS PROCESOS JUDICIALES</v>
          </cell>
          <cell r="C11" t="str">
            <v>ALTO</v>
          </cell>
          <cell r="D11" t="str">
            <v>LEY 1712   DE 2014 ARTÍCULO 19 LITERAL E "EL DEBIDO PROCESO Y LA IGUALDAD DE LAS PARTES EN LOS PROCESOS JUDICIALES."</v>
          </cell>
          <cell r="E11" t="str">
            <v>INFORMACIÓN PÚBLICA RESERVADA</v>
          </cell>
          <cell r="F11" t="str">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ell>
          <cell r="G11" t="str">
            <v>LEY 1712 DE 2014 ARTÍCULO 19   
LEY 1564  DE 2012 CÓDIGO GENERAL DEL PROCESO</v>
          </cell>
        </row>
        <row r="12">
          <cell r="B12" t="str">
            <v>10) LA ADMINISTRACIÓN EFECTIVA DE LA JUSTICIA</v>
          </cell>
          <cell r="C12" t="str">
            <v>ALTO</v>
          </cell>
          <cell r="D12" t="str">
            <v>LEY 1712   DE 2014, ARTÍCULO 19 LITERAL F "LA ADMINISTRACIÓN EFECTIVA DE LA JUSTICIA."</v>
          </cell>
          <cell r="E12" t="str">
            <v>INFORMACIÓN PÚBLICA RESERVADA</v>
          </cell>
          <cell r="F12" t="str">
            <v xml:space="preserve">CONSTITUCIÓN POLÍTICA DE COLOMBIA ARTICULO 228. LA ADMINISTRACIÓN DE JUSTICIA ES FUNCIÓN PÚBLICA. SUS DECISIONES SON INDEPENDIENTES. LAS ACTUACIONES SERÁN PÚBLICAS Y PERMANENTES CON LAS EXCEPCIONES QUE ESTABLEZCA LA LEY Y EN ELLAS PREVALECERÁ EL DERECHO SUSTANCIAL. LOS TÉRMINOS PROCESALES SE OBSERVARÁN CON DILIGENCIA Y SU INCUMPLIMIENTO SERÁ SANCIONADO. SU FUNCIONAMIENTO SERÁ DESCONCENTRADO Y AUTÓNOMO.
ARTICULO 229. SE GARANTIZA EL DERECHO DE TODA PERSONA PARA ACCEDER A LA ADMINISTRACIÓN DE JUSTICIA. LA LEY INDICARÁ EN QUÉ CASOS PODRÁ HACERLO SIN LA REPRESENTACIÓN DE ABOGADO.
</v>
          </cell>
          <cell r="G12">
            <v>0</v>
          </cell>
        </row>
        <row r="13">
          <cell r="B13" t="str">
            <v>11) LOS DERECHOS DE LA INFANCIA Y LA ADOLESCENCIA</v>
          </cell>
          <cell r="C13" t="str">
            <v>ALTO</v>
          </cell>
          <cell r="D13" t="str">
            <v>LEY 1712   DE 2014 ARTÍCULO 19 LITERAL G "LOS DERECHOS DE LA INFANCIA Y LA ADOLESCENCIA."</v>
          </cell>
          <cell r="E13" t="str">
            <v>INFORMACIÓN PÚBLICA RESERVADA</v>
          </cell>
          <cell r="F13" t="str">
            <v>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v>
          </cell>
          <cell r="G13" t="str">
            <v>LEY 1712 DE 2014 ARTÍCULO 19  
LEY 1581 DE 2012 
LEY 1098 DE 2006 CÓDIGO DE LA INFANCIA Y LA ADOLESCENCIA ARTÍCULO 75. RESERVA. TODOS LOS DOCUMENTOS Y ACTUACIONES ADMINISTRATIVAS O JUDICIALES PROPIOS DEL PROCESO DE ADOPCIÓN, SERÁN RESERVADOS POR EL TÉRMINO DE VEINTE (20) AÑOS A PARTIR DE LA EJECUTORIA DE LA SENTENCIA JUDICIAL. DE ELLOS SÓLO SE PODRÁ EXPEDIR COPIA DE LA SOLICITUD QUE LOS ADOPTANTES HICIEREN DIRECTAMENTE, A TRAVÉS DE SU APODERADO O DEL DEFENSOR DE FAMILIA O DEL ADOPTIVO QUE HUBIERE LLEGADO A LA MAYORÍA DE EDAD, LA PROCURADURÍA GENERAL DE LA NACIÓN; EL INSTITUTO COLOMBIANO DE BIENESTAR FAMILIAR A TRAVÉS DE SU OFICINA DE CONTROL INTERNO DISCIPLINARIO, LA FISCALÍA GENERAL DE LA NACIÓN, EL CONSEJO SUPERIOR DE LA JUDICATURA A TRAVÉS DE SU SALA JURISDICCIONAL DISCIPLINARIA, PARA EFECTOS DE INVESTIGACIONES PENALES O DISCIPLINARIAS A QUE HUBIERE LUGAR.
PARÁGRAFO 1. EL ADOPTADO, NO OBSTANTE, PODRÁ ACUDIR ANTE EL TRIBUNAL SUPERIOR CORRESPONDIENTE , MEDIANTE APODERADO O ASISTIDO POR EL DEFENSOR DE FAMILIA, SEGÚN EL CASO, PARA SOLICITAR QUE SE ORDENE EL LEVANTAMIENTO DE LA RESERVA Y ACCESO A LA INFORMACIÓN.
PARÁGRAFO O2. EL FUNCIONARIO QUE VIOLE LA RESERVA, PERMITA EL ACCESO O EXPIDA COPIA A PERSONAS NO AUTORIZADAS INCURRIRÁ EN CAUSAL DE MALA CONDUCTA.
ARTÍCULO 153. RESERVA DE LAS DILIGENCIAS, LAS ACTUACIONES PROCESALES ADELANTADAS EN EL SISTEMA DE RESPONSABILIDAD PENAL PARA ADOLESCENTES, SÓLO PODRÁN SER CONOCIDAS POR LAS PARTES, SUS APODERADOS Y LOS ORGANISMOS DE CONTROL. LA IDENTIDAD DEL PROCESADO, SALVO PARA LAS PERSONAS MENCIONADAS EN EL INCISO ANTERIOR, GOZARÁ DE RESERVA, QUEDA PROHIBIDO REVELAR LA IDENTIDAD O IMAGEN QUE PERMITA LA IDENTIFICACIÓN DE LAS PERSONAS PROCESADAS.</v>
          </cell>
        </row>
        <row r="14">
          <cell r="B14" t="str">
            <v>12) LA ESTABILIDAD MACROECONÓMICA Y FINANCIERA DEL PAÍS</v>
          </cell>
          <cell r="C14" t="str">
            <v>ALTO</v>
          </cell>
          <cell r="D14" t="str">
            <v>LEY 1712   DE 2014 ARTÍCULO 19 LITERAL H "LA ESTABILIDAD MACROECONÓMICA Y FINANCIERA DEL PAÍS."</v>
          </cell>
          <cell r="E14" t="str">
            <v>INFORMACIÓN PÚBLICA RESERVADA</v>
          </cell>
          <cell r="F14" t="str">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ell>
          <cell r="G14" t="str">
            <v xml:space="preserve">LEY 1712 DE 2014 ARTÍCULO 19  </v>
          </cell>
        </row>
        <row r="15">
          <cell r="B15" t="str">
            <v>13) LA SALUD PÚBLICA</v>
          </cell>
          <cell r="C15" t="str">
            <v>ALTO</v>
          </cell>
          <cell r="D15" t="str">
            <v>LEY 1712   DE 2014  ARTÍCULO 19 LITERAL I "LA SALUD PÚBLICA."</v>
          </cell>
          <cell r="E15" t="str">
            <v>INFORMACIÓN PÚBLICA RESERVADA</v>
          </cell>
          <cell r="F15" t="str">
            <v>LEY 1712   DE 2014  ARTÍCULO 19 LITERAL I "LA SALUD PÚBLICA."</v>
          </cell>
          <cell r="G15" t="str">
            <v xml:space="preserve">LEY 1712 DE 2014 ARTÍCULO 19  </v>
          </cell>
        </row>
        <row r="16">
          <cell r="B16" t="str">
            <v>14) OPINIONES O PUNTOS DE VISTA QUE FORMAN PARTE DEL PROCESO DELIBERATIVO DE LOS SERVIDORES PÚBLICOS</v>
          </cell>
          <cell r="C16" t="str">
            <v>ALTO</v>
          </cell>
          <cell r="D16" t="str">
            <v>LEY 1712 DE 2014  ARTÍCULO 19 PARÁGRAFO "SE EXCEPTÚAN TAMBIÉN LOS DOCUMENTOS QUE CONTENGAN LAS OPINIONES O PUNTOS DE VISTA QUE FORMEN PARTE DEL PROCESO DELIBERATIVO DE LOS SERVIDORES PÚBLICOS."</v>
          </cell>
          <cell r="E16" t="str">
            <v>INFORMACIÓN PÚBLICA RESERVADA</v>
          </cell>
          <cell r="F16" t="str">
            <v>LEY 1712 DE 2014 ARTÍCULO 19 PARÁGRAFO: SE EXCEPTÚAN TAMBIÉN LOS DOCUMENTOS QUE CONTENGAN LAS OPINIONES O PUNTOS DE VISTA QUE FORMEN PARTE DEL PROCESO DELIBERATIVO DE LOS SERVIDORES PÚBLICOS</v>
          </cell>
          <cell r="G16" t="str">
            <v xml:space="preserve">LEY 1712 DE 2014 ARTÍCULO 19  </v>
          </cell>
        </row>
        <row r="17">
          <cell r="B17" t="str">
            <v>15) PROTECCIÓN POR UNA NORMA LEGAL O CONSTITUCIONAL DE UN TEMA DIFERENTE A LOS ENUNCIADOS ANTERIORMENTE</v>
          </cell>
          <cell r="C17" t="str">
            <v>ALTO</v>
          </cell>
          <cell r="D17">
            <v>0</v>
          </cell>
          <cell r="E17">
            <v>0</v>
          </cell>
          <cell r="F17">
            <v>0</v>
          </cell>
          <cell r="G17">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ulturarecreacionydeporte.gov.co/es/transparencia-acceso-informacion-publica" TargetMode="External"/><Relationship Id="rId2" Type="http://schemas.openxmlformats.org/officeDocument/2006/relationships/hyperlink" Target="https://www.culturarecreacionydeporte.gov.co/es/transparencia-acceso-informacion-publica" TargetMode="External"/><Relationship Id="rId1" Type="http://schemas.openxmlformats.org/officeDocument/2006/relationships/hyperlink" Target="https://www.bogotadistritografiti.gov.co/" TargetMode="External"/><Relationship Id="rId5" Type="http://schemas.openxmlformats.org/officeDocument/2006/relationships/printerSettings" Target="../printerSettings/printerSettings1.bin"/><Relationship Id="rId4" Type="http://schemas.openxmlformats.org/officeDocument/2006/relationships/hyperlink" Target="https://www.culturarecreacionydeporte.gov.co/es/transparencia-acceso-informacion-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414"/>
  <sheetViews>
    <sheetView showGridLines="0" tabSelected="1" zoomScale="60" zoomScaleNormal="60" workbookViewId="0">
      <selection activeCell="BI9" sqref="BI9:BJ15"/>
    </sheetView>
  </sheetViews>
  <sheetFormatPr baseColWidth="10" defaultColWidth="11.28515625" defaultRowHeight="15" x14ac:dyDescent="0.2"/>
  <cols>
    <col min="1" max="1" width="18.140625" style="50" customWidth="1"/>
    <col min="2" max="2" width="18.140625" style="50" hidden="1" customWidth="1"/>
    <col min="3" max="3" width="18.140625" style="71" customWidth="1"/>
    <col min="4" max="4" width="18.140625" style="66" customWidth="1"/>
    <col min="5" max="5" width="18.140625" style="213" customWidth="1"/>
    <col min="6" max="6" width="18.140625" style="50" customWidth="1"/>
    <col min="7" max="9" width="18.140625" style="50" hidden="1" customWidth="1"/>
    <col min="10" max="11" width="18.140625" style="66" customWidth="1"/>
    <col min="12" max="15" width="18.140625" style="50" hidden="1" customWidth="1"/>
    <col min="16" max="16" width="18.140625" style="66" customWidth="1"/>
    <col min="17" max="18" width="18.140625" style="213" hidden="1" customWidth="1"/>
    <col min="19" max="20" width="18.140625" style="213" customWidth="1"/>
    <col min="21" max="29" width="18.140625" style="50" hidden="1" customWidth="1"/>
    <col min="30" max="31" width="18.140625" style="161" hidden="1" customWidth="1"/>
    <col min="32" max="46" width="18.140625" style="50" hidden="1" customWidth="1"/>
    <col min="47" max="47" width="18.140625" style="66" customWidth="1"/>
    <col min="48" max="49" width="18.140625" style="50" hidden="1" customWidth="1"/>
    <col min="50" max="51" width="18.140625" style="50" customWidth="1"/>
    <col min="52" max="55" width="18.140625" style="66" customWidth="1"/>
    <col min="56" max="57" width="18.140625" style="50" hidden="1" customWidth="1"/>
    <col min="58" max="58" width="4.7109375" style="50" customWidth="1"/>
    <col min="59" max="59" width="7.7109375" style="50" customWidth="1"/>
    <col min="60" max="60" width="12.7109375" style="50" customWidth="1"/>
    <col min="61" max="63" width="6.7109375" style="50" customWidth="1"/>
    <col min="64" max="16384" width="11.28515625" style="50"/>
  </cols>
  <sheetData>
    <row r="1" spans="1:76" x14ac:dyDescent="0.2">
      <c r="A1" s="45"/>
      <c r="B1" s="45"/>
      <c r="C1" s="61"/>
      <c r="D1" s="208"/>
      <c r="E1" s="211"/>
      <c r="F1" s="45"/>
      <c r="G1" s="45"/>
      <c r="H1" s="45"/>
      <c r="I1" s="45"/>
      <c r="J1" s="208"/>
      <c r="K1" s="208"/>
      <c r="L1" s="45"/>
      <c r="M1" s="45"/>
      <c r="N1" s="45"/>
      <c r="O1" s="45"/>
      <c r="P1" s="208"/>
      <c r="Q1" s="211"/>
      <c r="R1" s="211"/>
      <c r="S1" s="211"/>
      <c r="T1" s="211"/>
      <c r="U1" s="45"/>
      <c r="V1" s="45"/>
      <c r="W1" s="45"/>
      <c r="X1" s="45"/>
      <c r="Y1" s="45"/>
      <c r="Z1" s="45"/>
      <c r="AA1" s="45"/>
      <c r="AB1" s="45"/>
      <c r="AC1" s="45"/>
      <c r="AF1" s="45"/>
      <c r="AG1" s="45"/>
      <c r="AH1" s="45"/>
      <c r="AI1" s="45"/>
      <c r="AJ1" s="45"/>
      <c r="AK1" s="45"/>
      <c r="AL1" s="45"/>
      <c r="AM1" s="45"/>
      <c r="AN1" s="45"/>
      <c r="AO1" s="45"/>
      <c r="AP1" s="45"/>
      <c r="AQ1" s="45"/>
      <c r="AR1" s="45"/>
      <c r="AS1" s="45"/>
      <c r="AT1" s="45"/>
      <c r="AU1" s="208"/>
      <c r="AV1" s="45"/>
      <c r="AW1" s="221"/>
      <c r="AX1" s="221"/>
      <c r="AY1" s="45"/>
      <c r="AZ1" s="208"/>
      <c r="BA1" s="208"/>
      <c r="BB1" s="208"/>
      <c r="BC1" s="208"/>
      <c r="BD1" s="45"/>
      <c r="BE1" s="45"/>
      <c r="BF1" s="221"/>
      <c r="BG1" s="221"/>
      <c r="BH1" s="45"/>
      <c r="BI1" s="45"/>
      <c r="BJ1" s="221"/>
      <c r="BK1" s="221"/>
      <c r="BL1" s="45"/>
    </row>
    <row r="2" spans="1:76" ht="27.75" customHeight="1" x14ac:dyDescent="0.2">
      <c r="A2" s="235" t="s">
        <v>856</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21"/>
      <c r="BG2" s="221"/>
      <c r="BH2" s="45"/>
      <c r="BI2" s="45"/>
      <c r="BJ2" s="221"/>
      <c r="BK2" s="221"/>
      <c r="BL2" s="45"/>
    </row>
    <row r="3" spans="1:76" ht="26.45" customHeight="1" x14ac:dyDescent="0.2">
      <c r="A3" s="236"/>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6"/>
      <c r="AY3" s="236"/>
      <c r="AZ3" s="236"/>
      <c r="BA3" s="236"/>
      <c r="BB3" s="236"/>
      <c r="BC3" s="236"/>
      <c r="BD3" s="236"/>
      <c r="BE3" s="236"/>
      <c r="BF3" s="221"/>
      <c r="BG3" s="221"/>
      <c r="BH3" s="45"/>
      <c r="BI3" s="45"/>
      <c r="BJ3" s="221"/>
      <c r="BK3" s="221"/>
      <c r="BL3" s="45"/>
    </row>
    <row r="4" spans="1:76" ht="25.5" customHeight="1" x14ac:dyDescent="0.2">
      <c r="A4" s="236"/>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6"/>
      <c r="BA4" s="236"/>
      <c r="BB4" s="236"/>
      <c r="BC4" s="236"/>
      <c r="BD4" s="236"/>
      <c r="BE4" s="236"/>
      <c r="BF4" s="221"/>
      <c r="BG4" s="221"/>
      <c r="BH4" s="45"/>
      <c r="BI4" s="45"/>
      <c r="BJ4" s="221"/>
      <c r="BK4" s="221"/>
      <c r="BL4" s="45"/>
    </row>
    <row r="5" spans="1:76" ht="15" customHeight="1" x14ac:dyDescent="0.2">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21"/>
      <c r="BG5" s="221"/>
      <c r="BH5" s="45"/>
      <c r="BI5" s="45"/>
      <c r="BJ5" s="221"/>
      <c r="BK5" s="221"/>
      <c r="BL5" s="45"/>
    </row>
    <row r="6" spans="1:76" ht="11.25" customHeight="1" x14ac:dyDescent="0.2">
      <c r="A6" s="62"/>
      <c r="B6" s="62"/>
      <c r="C6" s="62"/>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63"/>
      <c r="AR6" s="63"/>
      <c r="AS6" s="63"/>
      <c r="AT6" s="63"/>
      <c r="AU6" s="214"/>
      <c r="AV6" s="45"/>
      <c r="AW6" s="221"/>
      <c r="AX6" s="221"/>
      <c r="AY6" s="45"/>
      <c r="AZ6" s="208"/>
      <c r="BA6" s="208"/>
      <c r="BB6" s="208"/>
      <c r="BC6" s="208"/>
      <c r="BD6" s="45"/>
      <c r="BE6" s="45"/>
      <c r="BF6" s="221"/>
      <c r="BG6" s="221"/>
      <c r="BH6" s="45"/>
      <c r="BI6" s="45"/>
      <c r="BJ6" s="221"/>
      <c r="BK6" s="221"/>
      <c r="BL6" s="45"/>
    </row>
    <row r="7" spans="1:76" ht="11.25" customHeight="1" x14ac:dyDescent="0.2">
      <c r="A7" s="62"/>
      <c r="B7" s="62"/>
      <c r="C7" s="62"/>
      <c r="D7" s="206"/>
      <c r="E7" s="208"/>
      <c r="F7" s="62"/>
      <c r="G7" s="47"/>
      <c r="H7" s="47"/>
      <c r="I7" s="47"/>
      <c r="J7" s="206"/>
      <c r="K7" s="206"/>
      <c r="L7" s="47"/>
      <c r="M7" s="47"/>
      <c r="N7" s="47"/>
      <c r="O7" s="47"/>
      <c r="P7" s="206"/>
      <c r="Q7" s="206"/>
      <c r="R7" s="206"/>
      <c r="S7" s="206"/>
      <c r="T7" s="206"/>
      <c r="U7" s="47"/>
      <c r="V7" s="47"/>
      <c r="W7" s="47"/>
      <c r="X7" s="47"/>
      <c r="Y7" s="47"/>
      <c r="Z7" s="47"/>
      <c r="AA7" s="47"/>
      <c r="AB7" s="47"/>
      <c r="AC7" s="47"/>
      <c r="AD7" s="47"/>
      <c r="AE7" s="47"/>
      <c r="AF7" s="47"/>
      <c r="AG7" s="47"/>
      <c r="AH7" s="47"/>
      <c r="AI7" s="47"/>
      <c r="AJ7" s="47"/>
      <c r="AK7" s="47"/>
      <c r="AL7" s="47"/>
      <c r="AM7" s="47"/>
      <c r="AN7" s="47"/>
      <c r="AO7" s="47"/>
      <c r="AP7" s="47"/>
      <c r="AQ7" s="63"/>
      <c r="AR7" s="63"/>
      <c r="AS7" s="63"/>
      <c r="AT7" s="63"/>
      <c r="AU7" s="214"/>
      <c r="AV7" s="45"/>
      <c r="AW7" s="221"/>
      <c r="AX7" s="221"/>
      <c r="AY7" s="45"/>
      <c r="AZ7" s="208"/>
      <c r="BA7" s="208"/>
      <c r="BB7" s="208"/>
      <c r="BC7" s="208"/>
      <c r="BD7" s="45"/>
      <c r="BE7" s="45"/>
      <c r="BF7" s="221"/>
      <c r="BG7" s="221"/>
      <c r="BH7" s="45"/>
      <c r="BI7" s="45"/>
      <c r="BJ7" s="221"/>
      <c r="BK7" s="221"/>
      <c r="BL7" s="45"/>
    </row>
    <row r="8" spans="1:76" s="65" customFormat="1" ht="32.25" customHeight="1" x14ac:dyDescent="0.25">
      <c r="A8" s="232" t="s">
        <v>34</v>
      </c>
      <c r="B8" s="232"/>
      <c r="C8" s="232"/>
      <c r="D8" s="232"/>
      <c r="E8" s="232"/>
      <c r="F8" s="232"/>
      <c r="G8" s="203" t="s">
        <v>32</v>
      </c>
      <c r="H8" s="232" t="s">
        <v>33</v>
      </c>
      <c r="I8" s="232"/>
      <c r="J8" s="232" t="s">
        <v>35</v>
      </c>
      <c r="K8" s="232"/>
      <c r="L8" s="232"/>
      <c r="M8" s="232"/>
      <c r="N8" s="232"/>
      <c r="O8" s="232"/>
      <c r="P8" s="232"/>
      <c r="Q8" s="233" t="s">
        <v>0</v>
      </c>
      <c r="R8" s="233"/>
      <c r="S8" s="233" t="s">
        <v>30</v>
      </c>
      <c r="T8" s="233"/>
      <c r="U8" s="242" t="s">
        <v>41</v>
      </c>
      <c r="V8" s="242"/>
      <c r="W8" s="242"/>
      <c r="X8" s="242"/>
      <c r="Y8" s="242"/>
      <c r="Z8" s="242"/>
      <c r="AA8" s="242"/>
      <c r="AB8" s="242"/>
      <c r="AC8" s="204" t="s">
        <v>236</v>
      </c>
      <c r="AD8" s="242" t="s">
        <v>36</v>
      </c>
      <c r="AE8" s="242"/>
      <c r="AF8" s="242"/>
      <c r="AG8" s="242"/>
      <c r="AH8" s="242"/>
      <c r="AI8" s="242"/>
      <c r="AJ8" s="242" t="s">
        <v>43</v>
      </c>
      <c r="AK8" s="242"/>
      <c r="AL8" s="242"/>
      <c r="AM8" s="242"/>
      <c r="AN8" s="242"/>
      <c r="AO8" s="242"/>
      <c r="AP8" s="242"/>
      <c r="AQ8" s="242"/>
      <c r="AR8" s="242"/>
      <c r="AS8" s="242"/>
      <c r="AT8" s="242"/>
      <c r="AU8" s="242"/>
      <c r="AV8" s="242"/>
      <c r="AW8" s="242"/>
      <c r="AX8" s="242"/>
      <c r="AY8" s="242"/>
      <c r="AZ8" s="242"/>
      <c r="BA8" s="242"/>
      <c r="BB8" s="242"/>
      <c r="BC8" s="242"/>
      <c r="BD8" s="242"/>
      <c r="BE8" s="242"/>
      <c r="BF8" s="234"/>
      <c r="BG8" s="234"/>
      <c r="BH8" s="64"/>
      <c r="BI8" s="64"/>
      <c r="BJ8" s="234"/>
      <c r="BK8" s="234"/>
      <c r="BL8" s="64"/>
    </row>
    <row r="9" spans="1:76" s="66" customFormat="1" ht="97.15" customHeight="1" x14ac:dyDescent="0.25">
      <c r="A9" s="205" t="s">
        <v>1</v>
      </c>
      <c r="B9" s="72" t="s">
        <v>45</v>
      </c>
      <c r="C9" s="205" t="s">
        <v>2</v>
      </c>
      <c r="D9" s="205" t="s">
        <v>31</v>
      </c>
      <c r="E9" s="205" t="s">
        <v>3</v>
      </c>
      <c r="F9" s="205" t="s">
        <v>4</v>
      </c>
      <c r="G9" s="72" t="s">
        <v>5</v>
      </c>
      <c r="H9" s="72" t="s">
        <v>29</v>
      </c>
      <c r="I9" s="72" t="s">
        <v>6</v>
      </c>
      <c r="J9" s="205" t="s">
        <v>7</v>
      </c>
      <c r="K9" s="205" t="s">
        <v>8</v>
      </c>
      <c r="L9" s="72" t="s">
        <v>44</v>
      </c>
      <c r="M9" s="72" t="s">
        <v>9</v>
      </c>
      <c r="N9" s="72" t="s">
        <v>10</v>
      </c>
      <c r="O9" s="72" t="s">
        <v>37</v>
      </c>
      <c r="P9" s="205" t="s">
        <v>38</v>
      </c>
      <c r="Q9" s="72" t="s">
        <v>11</v>
      </c>
      <c r="R9" s="72" t="s">
        <v>12</v>
      </c>
      <c r="S9" s="205" t="s">
        <v>13</v>
      </c>
      <c r="T9" s="205" t="s">
        <v>14</v>
      </c>
      <c r="U9" s="72" t="s">
        <v>15</v>
      </c>
      <c r="V9" s="72" t="s">
        <v>19</v>
      </c>
      <c r="W9" s="72" t="s">
        <v>17</v>
      </c>
      <c r="X9" s="72" t="s">
        <v>18</v>
      </c>
      <c r="Y9" s="72" t="s">
        <v>16</v>
      </c>
      <c r="Z9" s="72" t="s">
        <v>20</v>
      </c>
      <c r="AA9" s="72" t="s">
        <v>21</v>
      </c>
      <c r="AB9" s="72" t="s">
        <v>22</v>
      </c>
      <c r="AC9" s="72" t="s">
        <v>23</v>
      </c>
      <c r="AD9" s="73" t="s">
        <v>126</v>
      </c>
      <c r="AE9" s="73" t="s">
        <v>181</v>
      </c>
      <c r="AF9" s="72" t="s">
        <v>182</v>
      </c>
      <c r="AG9" s="73" t="s">
        <v>125</v>
      </c>
      <c r="AH9" s="72" t="s">
        <v>183</v>
      </c>
      <c r="AI9" s="73" t="s">
        <v>127</v>
      </c>
      <c r="AJ9" s="73" t="s">
        <v>128</v>
      </c>
      <c r="AK9" s="72" t="s">
        <v>184</v>
      </c>
      <c r="AL9" s="72" t="s">
        <v>185</v>
      </c>
      <c r="AM9" s="72" t="s">
        <v>186</v>
      </c>
      <c r="AN9" s="72" t="s">
        <v>187</v>
      </c>
      <c r="AO9" s="72" t="s">
        <v>188</v>
      </c>
      <c r="AP9" s="72" t="s">
        <v>189</v>
      </c>
      <c r="AQ9" s="72" t="s">
        <v>190</v>
      </c>
      <c r="AR9" s="72" t="s">
        <v>191</v>
      </c>
      <c r="AS9" s="72" t="s">
        <v>192</v>
      </c>
      <c r="AT9" s="72" t="s">
        <v>193</v>
      </c>
      <c r="AU9" s="205" t="s">
        <v>39</v>
      </c>
      <c r="AV9" s="72" t="s">
        <v>46</v>
      </c>
      <c r="AW9" s="72" t="s">
        <v>40</v>
      </c>
      <c r="AX9" s="205" t="s">
        <v>42</v>
      </c>
      <c r="AY9" s="205" t="s">
        <v>24</v>
      </c>
      <c r="AZ9" s="205" t="s">
        <v>25</v>
      </c>
      <c r="BA9" s="205" t="s">
        <v>26</v>
      </c>
      <c r="BB9" s="205" t="s">
        <v>27</v>
      </c>
      <c r="BC9" s="205" t="s">
        <v>28</v>
      </c>
      <c r="BD9" s="73" t="s">
        <v>47</v>
      </c>
      <c r="BE9" s="73" t="s">
        <v>48</v>
      </c>
      <c r="BF9" s="230"/>
      <c r="BG9" s="230"/>
      <c r="BH9" s="230"/>
      <c r="BI9" s="230"/>
      <c r="BJ9" s="230"/>
      <c r="BK9" s="230"/>
      <c r="BL9" s="230"/>
      <c r="BM9" s="230"/>
      <c r="BN9" s="230"/>
      <c r="BO9" s="230"/>
      <c r="BP9" s="230"/>
      <c r="BQ9" s="230"/>
      <c r="BR9" s="230"/>
      <c r="BS9" s="230"/>
      <c r="BT9" s="230"/>
      <c r="BU9" s="230"/>
      <c r="BV9" s="230"/>
      <c r="BW9" s="230"/>
      <c r="BX9" s="230"/>
    </row>
    <row r="10" spans="1:76" s="67" customFormat="1" ht="207.75" customHeight="1" x14ac:dyDescent="0.2">
      <c r="A10" s="76">
        <v>1</v>
      </c>
      <c r="B10" s="101" t="s">
        <v>65</v>
      </c>
      <c r="C10" s="101" t="s">
        <v>313</v>
      </c>
      <c r="D10" s="218" t="s">
        <v>64</v>
      </c>
      <c r="E10" s="120" t="s">
        <v>315</v>
      </c>
      <c r="F10" s="102" t="s">
        <v>316</v>
      </c>
      <c r="G10" s="101" t="s">
        <v>205</v>
      </c>
      <c r="H10" s="102" t="s">
        <v>317</v>
      </c>
      <c r="I10" s="102" t="s">
        <v>318</v>
      </c>
      <c r="J10" s="151" t="s">
        <v>319</v>
      </c>
      <c r="K10" s="120" t="s">
        <v>320</v>
      </c>
      <c r="L10" s="102" t="s">
        <v>321</v>
      </c>
      <c r="M10" s="102" t="s">
        <v>322</v>
      </c>
      <c r="N10" s="102" t="s">
        <v>323</v>
      </c>
      <c r="O10" s="120" t="s">
        <v>151</v>
      </c>
      <c r="P10" s="120" t="s">
        <v>324</v>
      </c>
      <c r="Q10" s="119" t="s">
        <v>325</v>
      </c>
      <c r="R10" s="119" t="s">
        <v>325</v>
      </c>
      <c r="S10" s="180" t="s">
        <v>326</v>
      </c>
      <c r="T10" s="120" t="s">
        <v>327</v>
      </c>
      <c r="U10" s="121" t="s">
        <v>328</v>
      </c>
      <c r="V10" s="121" t="s">
        <v>328</v>
      </c>
      <c r="W10" s="121" t="s">
        <v>329</v>
      </c>
      <c r="X10" s="121" t="s">
        <v>329</v>
      </c>
      <c r="Y10" s="121" t="s">
        <v>329</v>
      </c>
      <c r="Z10" s="121" t="s">
        <v>329</v>
      </c>
      <c r="AA10" s="121" t="s">
        <v>195</v>
      </c>
      <c r="AB10" s="121" t="s">
        <v>195</v>
      </c>
      <c r="AC10" s="158" t="s">
        <v>195</v>
      </c>
      <c r="AD10" s="162" t="s">
        <v>212</v>
      </c>
      <c r="AE10" s="162" t="s">
        <v>136</v>
      </c>
      <c r="AF10" s="121" t="str">
        <f>AR10</f>
        <v>ALTO</v>
      </c>
      <c r="AG10" s="121" t="s">
        <v>104</v>
      </c>
      <c r="AH10" s="121" t="str">
        <f>_xlfn.IFNA((AS10),"")</f>
        <v>ALTO</v>
      </c>
      <c r="AI10" s="103" t="s">
        <v>115</v>
      </c>
      <c r="AJ10" s="121" t="s">
        <v>123</v>
      </c>
      <c r="AK10" s="121" t="str">
        <f>_xlfn.IFNA((AT10),"")</f>
        <v>MEDIO</v>
      </c>
      <c r="AL10" s="124" t="s">
        <v>92</v>
      </c>
      <c r="AM10" s="124">
        <v>3</v>
      </c>
      <c r="AN10" s="124" t="s">
        <v>92</v>
      </c>
      <c r="AO10" s="124">
        <v>3</v>
      </c>
      <c r="AP10" s="124">
        <v>2</v>
      </c>
      <c r="AQ10" s="124">
        <v>0.5</v>
      </c>
      <c r="AR10" s="124" t="s">
        <v>92</v>
      </c>
      <c r="AS10" s="124" t="s">
        <v>92</v>
      </c>
      <c r="AT10" s="124" t="s">
        <v>103</v>
      </c>
      <c r="AU10" s="124" t="str">
        <f>_xlfn.IFNA(IF(AND(AR10="BAJO",AS10="BAJO",AT10="BAJO"),"BAJO",IF(AND(AR30="ALTO",AS10="ALTO",AT10="ALTO"),"ALTO",IF(COUNTIF(AR10:AT10,"ALTO")=2,"ALTO","MEDIO")))," ")</f>
        <v>ALTO</v>
      </c>
      <c r="AV10" s="105" t="s">
        <v>94</v>
      </c>
      <c r="AW10" s="124" t="str">
        <f t="shared" ref="AW10:AW13" si="0">IF(AV10="INFORMACIÓN PÚBLICA","IPB",IF(AV10="INFORMACIÓN PÚBLICA CLASIFICADA","IPC",IF(AV10="INFORMACIÓN PÚBLICA RESERVADA","IPR",IF(AV10="",""))))</f>
        <v>IPR</v>
      </c>
      <c r="AX10" s="104" t="str">
        <f>_xlfn.IFNA(VLOOKUP(AD10,[1]Tipologías!$B$3:$G$17,3,0),"")</f>
        <v>LEY 1712  DE 2014,  ARTÍCULO 19 LITERAL D "LA PREVENCIÓN, INVESTIGACIÓN Y PERSECUCIÓN DE LOS DELITOS Y LAS FALTAS DISCIPLINARIAS, MIENTRAS QUE NO SE HAGA EFECTIVA LA MEDIDA DE ASEGURAMIENTO O SE FORMULE PLIEGO DE CARGOS, SEGÚN EL CASO."</v>
      </c>
      <c r="AY10" s="104" t="str">
        <f>_xlfn.IFNA(VLOOKUP(AD10,[1]Tipologías!$B$3:$G$17,5,0),"")</f>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
      <c r="AZ10" s="124" t="s">
        <v>330</v>
      </c>
      <c r="BA10" s="168" t="s">
        <v>197</v>
      </c>
      <c r="BB10" s="169">
        <v>45077</v>
      </c>
      <c r="BC10" s="168" t="s">
        <v>224</v>
      </c>
      <c r="BD10" s="170" t="s">
        <v>331</v>
      </c>
      <c r="BE10" s="170" t="s">
        <v>332</v>
      </c>
      <c r="BF10" s="230"/>
      <c r="BG10" s="230"/>
      <c r="BH10" s="230"/>
      <c r="BI10" s="230"/>
      <c r="BJ10" s="230"/>
      <c r="BK10" s="230"/>
      <c r="BL10" s="230"/>
      <c r="BM10" s="230"/>
      <c r="BN10" s="230"/>
      <c r="BO10" s="230"/>
      <c r="BP10" s="230"/>
      <c r="BQ10" s="230"/>
      <c r="BR10" s="230"/>
      <c r="BS10" s="230"/>
      <c r="BT10" s="230"/>
      <c r="BU10" s="230"/>
      <c r="BV10" s="230"/>
      <c r="BW10" s="230"/>
      <c r="BX10" s="230"/>
    </row>
    <row r="11" spans="1:76" s="68" customFormat="1" ht="207.75" customHeight="1" x14ac:dyDescent="0.2">
      <c r="A11" s="76">
        <v>2</v>
      </c>
      <c r="B11" s="101" t="s">
        <v>65</v>
      </c>
      <c r="C11" s="101" t="s">
        <v>313</v>
      </c>
      <c r="D11" s="218" t="s">
        <v>64</v>
      </c>
      <c r="E11" s="182" t="s">
        <v>333</v>
      </c>
      <c r="F11" s="104" t="s">
        <v>334</v>
      </c>
      <c r="G11" s="101" t="s">
        <v>174</v>
      </c>
      <c r="H11" s="102" t="s">
        <v>64</v>
      </c>
      <c r="I11" s="102" t="s">
        <v>335</v>
      </c>
      <c r="J11" s="151" t="s">
        <v>336</v>
      </c>
      <c r="K11" s="120" t="s">
        <v>320</v>
      </c>
      <c r="L11" s="102" t="s">
        <v>321</v>
      </c>
      <c r="M11" s="106" t="s">
        <v>337</v>
      </c>
      <c r="N11" s="102" t="s">
        <v>338</v>
      </c>
      <c r="O11" s="120" t="s">
        <v>151</v>
      </c>
      <c r="P11" s="120" t="s">
        <v>339</v>
      </c>
      <c r="Q11" s="119" t="s">
        <v>325</v>
      </c>
      <c r="R11" s="119" t="s">
        <v>195</v>
      </c>
      <c r="S11" s="180" t="s">
        <v>195</v>
      </c>
      <c r="T11" s="180" t="s">
        <v>195</v>
      </c>
      <c r="U11" s="121" t="s">
        <v>328</v>
      </c>
      <c r="V11" s="121" t="s">
        <v>328</v>
      </c>
      <c r="W11" s="121" t="s">
        <v>329</v>
      </c>
      <c r="X11" s="121" t="s">
        <v>329</v>
      </c>
      <c r="Y11" s="121" t="s">
        <v>329</v>
      </c>
      <c r="Z11" s="121" t="s">
        <v>329</v>
      </c>
      <c r="AA11" s="121" t="s">
        <v>195</v>
      </c>
      <c r="AB11" s="121" t="s">
        <v>195</v>
      </c>
      <c r="AC11" s="158" t="s">
        <v>195</v>
      </c>
      <c r="AD11" s="162" t="s">
        <v>212</v>
      </c>
      <c r="AE11" s="162" t="s">
        <v>136</v>
      </c>
      <c r="AF11" s="121" t="str">
        <f t="shared" ref="AF11:AF13" si="1">AR11</f>
        <v>ALTO</v>
      </c>
      <c r="AG11" s="121" t="s">
        <v>102</v>
      </c>
      <c r="AH11" s="121" t="str">
        <f>_xlfn.IFNA((AS11),"")</f>
        <v>MEDIO</v>
      </c>
      <c r="AI11" s="103" t="s">
        <v>115</v>
      </c>
      <c r="AJ11" s="121" t="s">
        <v>119</v>
      </c>
      <c r="AK11" s="121" t="str">
        <f>_xlfn.IFNA((AT11),"")</f>
        <v>ALTO</v>
      </c>
      <c r="AL11" s="124" t="s">
        <v>92</v>
      </c>
      <c r="AM11" s="124">
        <v>3</v>
      </c>
      <c r="AN11" s="124" t="s">
        <v>92</v>
      </c>
      <c r="AO11" s="124">
        <v>3</v>
      </c>
      <c r="AP11" s="124">
        <v>2</v>
      </c>
      <c r="AQ11" s="124">
        <v>2</v>
      </c>
      <c r="AR11" s="124" t="s">
        <v>92</v>
      </c>
      <c r="AS11" s="124" t="s">
        <v>103</v>
      </c>
      <c r="AT11" s="124" t="s">
        <v>92</v>
      </c>
      <c r="AU11" s="124" t="str">
        <f>_xlfn.IFNA(IF(AND(AR11="BAJO",AS11="BAJO",AT11="BAJO"),"BAJO",IF(AND(AR31="ALTO",AS11="ALTO",AT11="ALTO"),"ALTO",IF(COUNTIF(AR11:AT11,"ALTO")=2,"ALTO","MEDIO")))," ")</f>
        <v>ALTO</v>
      </c>
      <c r="AV11" s="105" t="s">
        <v>94</v>
      </c>
      <c r="AW11" s="124" t="str">
        <f t="shared" si="0"/>
        <v>IPR</v>
      </c>
      <c r="AX11" s="104" t="str">
        <f>_xlfn.IFNA(VLOOKUP(AD11,[1]Tipologías!$B$3:$G$17,3,0),"")</f>
        <v>LEY 1712  DE 2014,  ARTÍCULO 19 LITERAL D "LA PREVENCIÓN, INVESTIGACIÓN Y PERSECUCIÓN DE LOS DELITOS Y LAS FALTAS DISCIPLINARIAS, MIENTRAS QUE NO SE HAGA EFECTIVA LA MEDIDA DE ASEGURAMIENTO O SE FORMULE PLIEGO DE CARGOS, SEGÚN EL CASO."</v>
      </c>
      <c r="AY11" s="104" t="str">
        <f>_xlfn.IFNA(VLOOKUP(AD11,[1]Tipologías!$B$3:$G$17,5,0),"")</f>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
      <c r="AZ11" s="124" t="s">
        <v>330</v>
      </c>
      <c r="BA11" s="168" t="s">
        <v>197</v>
      </c>
      <c r="BB11" s="169">
        <v>45077</v>
      </c>
      <c r="BC11" s="168" t="s">
        <v>224</v>
      </c>
      <c r="BD11" s="170" t="s">
        <v>331</v>
      </c>
      <c r="BE11" s="170" t="s">
        <v>332</v>
      </c>
      <c r="BF11" s="230"/>
      <c r="BG11" s="230"/>
      <c r="BH11" s="230"/>
      <c r="BI11" s="230"/>
      <c r="BJ11" s="230"/>
      <c r="BK11" s="230"/>
      <c r="BL11" s="230"/>
      <c r="BM11" s="230"/>
      <c r="BN11" s="230"/>
      <c r="BO11" s="230"/>
      <c r="BP11" s="230"/>
      <c r="BQ11" s="230"/>
      <c r="BR11" s="230"/>
      <c r="BS11" s="230"/>
      <c r="BT11" s="230"/>
      <c r="BU11" s="230"/>
      <c r="BV11" s="230"/>
      <c r="BW11" s="230"/>
      <c r="BX11" s="230"/>
    </row>
    <row r="12" spans="1:76" s="67" customFormat="1" ht="207.75" customHeight="1" x14ac:dyDescent="0.2">
      <c r="A12" s="76">
        <v>3</v>
      </c>
      <c r="B12" s="101" t="s">
        <v>65</v>
      </c>
      <c r="C12" s="101" t="s">
        <v>313</v>
      </c>
      <c r="D12" s="218" t="s">
        <v>64</v>
      </c>
      <c r="E12" s="120" t="s">
        <v>340</v>
      </c>
      <c r="F12" s="104" t="s">
        <v>341</v>
      </c>
      <c r="G12" s="101" t="s">
        <v>205</v>
      </c>
      <c r="H12" s="102" t="s">
        <v>317</v>
      </c>
      <c r="I12" s="102" t="s">
        <v>342</v>
      </c>
      <c r="J12" s="151" t="s">
        <v>319</v>
      </c>
      <c r="K12" s="120" t="s">
        <v>320</v>
      </c>
      <c r="L12" s="102" t="s">
        <v>321</v>
      </c>
      <c r="M12" s="102" t="s">
        <v>343</v>
      </c>
      <c r="N12" s="102" t="s">
        <v>323</v>
      </c>
      <c r="O12" s="120" t="s">
        <v>151</v>
      </c>
      <c r="P12" s="120" t="s">
        <v>344</v>
      </c>
      <c r="Q12" s="119" t="s">
        <v>325</v>
      </c>
      <c r="R12" s="119" t="s">
        <v>325</v>
      </c>
      <c r="S12" s="181" t="s">
        <v>340</v>
      </c>
      <c r="T12" s="182" t="s">
        <v>345</v>
      </c>
      <c r="U12" s="121" t="s">
        <v>328</v>
      </c>
      <c r="V12" s="121" t="s">
        <v>328</v>
      </c>
      <c r="W12" s="121" t="s">
        <v>328</v>
      </c>
      <c r="X12" s="121" t="s">
        <v>329</v>
      </c>
      <c r="Y12" s="121" t="s">
        <v>328</v>
      </c>
      <c r="Z12" s="121" t="s">
        <v>329</v>
      </c>
      <c r="AA12" s="121" t="s">
        <v>195</v>
      </c>
      <c r="AB12" s="121" t="s">
        <v>195</v>
      </c>
      <c r="AC12" s="158" t="s">
        <v>195</v>
      </c>
      <c r="AD12" s="162" t="s">
        <v>212</v>
      </c>
      <c r="AE12" s="162" t="s">
        <v>136</v>
      </c>
      <c r="AF12" s="121" t="str">
        <f t="shared" si="1"/>
        <v>ALTO</v>
      </c>
      <c r="AG12" s="121" t="s">
        <v>102</v>
      </c>
      <c r="AH12" s="121" t="str">
        <f>_xlfn.IFNA((AS17),"")</f>
        <v>ALTO</v>
      </c>
      <c r="AI12" s="103" t="s">
        <v>115</v>
      </c>
      <c r="AJ12" s="121" t="s">
        <v>120</v>
      </c>
      <c r="AK12" s="121" t="str">
        <f>_xlfn.IFNA((AT12),"")</f>
        <v>ALTO</v>
      </c>
      <c r="AL12" s="124" t="s">
        <v>92</v>
      </c>
      <c r="AM12" s="124">
        <v>3</v>
      </c>
      <c r="AN12" s="124" t="s">
        <v>92</v>
      </c>
      <c r="AO12" s="124">
        <v>3</v>
      </c>
      <c r="AP12" s="124">
        <v>2</v>
      </c>
      <c r="AQ12" s="124">
        <v>1.5</v>
      </c>
      <c r="AR12" s="124" t="s">
        <v>92</v>
      </c>
      <c r="AS12" s="124" t="s">
        <v>103</v>
      </c>
      <c r="AT12" s="124" t="s">
        <v>92</v>
      </c>
      <c r="AU12" s="124" t="str">
        <f>_xlfn.IFNA(IF(AND(AR12="BAJO",AS12="BAJO",AT12="BAJO"),"BAJO",IF(AND(AR32="ALTO",AS12="ALTO",AT12="ALTO"),"ALTO",IF(COUNTIF(AR12:AT12,"ALTO")=2,"ALTO","MEDIO")))," ")</f>
        <v>ALTO</v>
      </c>
      <c r="AV12" s="105" t="s">
        <v>94</v>
      </c>
      <c r="AW12" s="124" t="str">
        <f t="shared" si="0"/>
        <v>IPR</v>
      </c>
      <c r="AX12" s="104" t="str">
        <f>_xlfn.IFNA(VLOOKUP(AD12,[1]Tipologías!$B$3:$G$17,3,0),"")</f>
        <v>LEY 1712  DE 2014,  ARTÍCULO 19 LITERAL D "LA PREVENCIÓN, INVESTIGACIÓN Y PERSECUCIÓN DE LOS DELITOS Y LAS FALTAS DISCIPLINARIAS, MIENTRAS QUE NO SE HAGA EFECTIVA LA MEDIDA DE ASEGURAMIENTO O SE FORMULE PLIEGO DE CARGOS, SEGÚN EL CASO."</v>
      </c>
      <c r="AY12" s="104" t="str">
        <f>_xlfn.IFNA(VLOOKUP(AD12,[1]Tipologías!$B$3:$G$17,5,0),"")</f>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
      <c r="AZ12" s="124" t="s">
        <v>330</v>
      </c>
      <c r="BA12" s="168" t="s">
        <v>196</v>
      </c>
      <c r="BB12" s="169">
        <v>45077</v>
      </c>
      <c r="BC12" s="168" t="s">
        <v>226</v>
      </c>
      <c r="BD12" s="170" t="s">
        <v>331</v>
      </c>
      <c r="BE12" s="170" t="s">
        <v>332</v>
      </c>
      <c r="BF12" s="230"/>
      <c r="BG12" s="230"/>
      <c r="BH12" s="230"/>
      <c r="BI12" s="230"/>
      <c r="BJ12" s="230"/>
      <c r="BK12" s="230"/>
      <c r="BL12" s="230"/>
      <c r="BM12" s="230"/>
      <c r="BN12" s="230"/>
      <c r="BO12" s="230"/>
      <c r="BP12" s="230"/>
      <c r="BQ12" s="230"/>
      <c r="BR12" s="230"/>
      <c r="BS12" s="230"/>
      <c r="BT12" s="230"/>
      <c r="BU12" s="230"/>
      <c r="BV12" s="230"/>
      <c r="BW12" s="230"/>
      <c r="BX12" s="230"/>
    </row>
    <row r="13" spans="1:76" s="67" customFormat="1" ht="207.75" customHeight="1" x14ac:dyDescent="0.2">
      <c r="A13" s="76">
        <v>4</v>
      </c>
      <c r="B13" s="101" t="s">
        <v>65</v>
      </c>
      <c r="C13" s="101" t="s">
        <v>313</v>
      </c>
      <c r="D13" s="218" t="s">
        <v>64</v>
      </c>
      <c r="E13" s="120" t="s">
        <v>346</v>
      </c>
      <c r="F13" s="101" t="s">
        <v>347</v>
      </c>
      <c r="G13" s="101" t="s">
        <v>205</v>
      </c>
      <c r="H13" s="102" t="s">
        <v>317</v>
      </c>
      <c r="I13" s="106" t="s">
        <v>318</v>
      </c>
      <c r="J13" s="151" t="s">
        <v>319</v>
      </c>
      <c r="K13" s="120" t="s">
        <v>320</v>
      </c>
      <c r="L13" s="102" t="s">
        <v>321</v>
      </c>
      <c r="M13" s="102" t="s">
        <v>343</v>
      </c>
      <c r="N13" s="102" t="s">
        <v>323</v>
      </c>
      <c r="O13" s="120" t="s">
        <v>151</v>
      </c>
      <c r="P13" s="120" t="s">
        <v>344</v>
      </c>
      <c r="Q13" s="119" t="s">
        <v>325</v>
      </c>
      <c r="R13" s="119" t="s">
        <v>325</v>
      </c>
      <c r="S13" s="180" t="s">
        <v>348</v>
      </c>
      <c r="T13" s="120" t="s">
        <v>349</v>
      </c>
      <c r="U13" s="121" t="s">
        <v>328</v>
      </c>
      <c r="V13" s="121" t="s">
        <v>328</v>
      </c>
      <c r="W13" s="121" t="s">
        <v>328</v>
      </c>
      <c r="X13" s="121" t="s">
        <v>328</v>
      </c>
      <c r="Y13" s="121" t="s">
        <v>328</v>
      </c>
      <c r="Z13" s="121" t="s">
        <v>329</v>
      </c>
      <c r="AA13" s="121" t="s">
        <v>195</v>
      </c>
      <c r="AB13" s="121" t="s">
        <v>195</v>
      </c>
      <c r="AC13" s="158" t="s">
        <v>195</v>
      </c>
      <c r="AD13" s="162" t="s">
        <v>212</v>
      </c>
      <c r="AE13" s="162" t="s">
        <v>136</v>
      </c>
      <c r="AF13" s="121" t="str">
        <f t="shared" si="1"/>
        <v>ALTO</v>
      </c>
      <c r="AG13" s="121" t="s">
        <v>104</v>
      </c>
      <c r="AH13" s="121" t="str">
        <f>_xlfn.IFNA((AS13),"")</f>
        <v>ALTO</v>
      </c>
      <c r="AI13" s="103" t="s">
        <v>115</v>
      </c>
      <c r="AJ13" s="121" t="s">
        <v>118</v>
      </c>
      <c r="AK13" s="121" t="str">
        <f>_xlfn.IFNA((AT13),"")</f>
        <v>ALTO</v>
      </c>
      <c r="AL13" s="124" t="s">
        <v>92</v>
      </c>
      <c r="AM13" s="124">
        <v>3</v>
      </c>
      <c r="AN13" s="124" t="s">
        <v>92</v>
      </c>
      <c r="AO13" s="124">
        <v>3</v>
      </c>
      <c r="AP13" s="124">
        <v>2</v>
      </c>
      <c r="AQ13" s="124">
        <v>2.25</v>
      </c>
      <c r="AR13" s="124" t="s">
        <v>92</v>
      </c>
      <c r="AS13" s="124" t="s">
        <v>92</v>
      </c>
      <c r="AT13" s="124" t="s">
        <v>92</v>
      </c>
      <c r="AU13" s="124" t="s">
        <v>92</v>
      </c>
      <c r="AV13" s="105" t="s">
        <v>94</v>
      </c>
      <c r="AW13" s="124" t="str">
        <f t="shared" si="0"/>
        <v>IPR</v>
      </c>
      <c r="AX13" s="104" t="str">
        <f>_xlfn.IFNA(VLOOKUP(AD13,[1]Tipologías!$B$3:$G$17,3,0),"")</f>
        <v>LEY 1712  DE 2014,  ARTÍCULO 19 LITERAL D "LA PREVENCIÓN, INVESTIGACIÓN Y PERSECUCIÓN DE LOS DELITOS Y LAS FALTAS DISCIPLINARIAS, MIENTRAS QUE NO SE HAGA EFECTIVA LA MEDIDA DE ASEGURAMIENTO O SE FORMULE PLIEGO DE CARGOS, SEGÚN EL CASO."</v>
      </c>
      <c r="AY13" s="104" t="str">
        <f>_xlfn.IFNA(VLOOKUP(AD13,[1]Tipologías!$B$3:$G$17,5,0),"")</f>
        <v xml:space="preserve">LEY 1952 DE 2019 CÓDIGO GENERAL DISCIPLINARIO,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v>
      </c>
      <c r="AZ13" s="124" t="s">
        <v>330</v>
      </c>
      <c r="BA13" s="168" t="s">
        <v>196</v>
      </c>
      <c r="BB13" s="169">
        <v>45077</v>
      </c>
      <c r="BC13" s="168" t="s">
        <v>224</v>
      </c>
      <c r="BD13" s="170" t="s">
        <v>331</v>
      </c>
      <c r="BE13" s="170" t="s">
        <v>332</v>
      </c>
      <c r="BF13" s="230"/>
      <c r="BG13" s="230"/>
      <c r="BH13" s="230"/>
      <c r="BI13" s="230"/>
      <c r="BJ13" s="230"/>
      <c r="BK13" s="230"/>
      <c r="BL13" s="230"/>
      <c r="BM13" s="230"/>
      <c r="BN13" s="230"/>
      <c r="BO13" s="230"/>
      <c r="BP13" s="230"/>
      <c r="BQ13" s="230"/>
      <c r="BR13" s="230"/>
      <c r="BS13" s="230"/>
      <c r="BT13" s="230"/>
      <c r="BU13" s="230"/>
      <c r="BV13" s="230"/>
      <c r="BW13" s="230"/>
      <c r="BX13" s="230"/>
    </row>
    <row r="14" spans="1:76" s="67" customFormat="1" ht="207.75" customHeight="1" x14ac:dyDescent="0.2">
      <c r="A14" s="76">
        <v>5</v>
      </c>
      <c r="B14" s="107" t="s">
        <v>59</v>
      </c>
      <c r="C14" s="107" t="s">
        <v>302</v>
      </c>
      <c r="D14" s="100" t="s">
        <v>270</v>
      </c>
      <c r="E14" s="100" t="s">
        <v>350</v>
      </c>
      <c r="F14" s="100" t="s">
        <v>351</v>
      </c>
      <c r="G14" s="107" t="s">
        <v>205</v>
      </c>
      <c r="H14" s="100" t="s">
        <v>270</v>
      </c>
      <c r="I14" s="100" t="s">
        <v>352</v>
      </c>
      <c r="J14" s="107" t="s">
        <v>336</v>
      </c>
      <c r="K14" s="100" t="s">
        <v>320</v>
      </c>
      <c r="L14" s="100" t="s">
        <v>321</v>
      </c>
      <c r="M14" s="100" t="s">
        <v>195</v>
      </c>
      <c r="N14" s="100" t="s">
        <v>353</v>
      </c>
      <c r="O14" s="100" t="s">
        <v>151</v>
      </c>
      <c r="P14" s="100" t="s">
        <v>354</v>
      </c>
      <c r="Q14" s="77" t="s">
        <v>325</v>
      </c>
      <c r="R14" s="77" t="s">
        <v>325</v>
      </c>
      <c r="S14" s="100" t="s">
        <v>355</v>
      </c>
      <c r="T14" s="100" t="s">
        <v>356</v>
      </c>
      <c r="U14" s="77" t="s">
        <v>328</v>
      </c>
      <c r="V14" s="77" t="s">
        <v>328</v>
      </c>
      <c r="W14" s="77" t="s">
        <v>329</v>
      </c>
      <c r="X14" s="77" t="s">
        <v>329</v>
      </c>
      <c r="Y14" s="77" t="s">
        <v>329</v>
      </c>
      <c r="Z14" s="77" t="s">
        <v>329</v>
      </c>
      <c r="AA14" s="77" t="s">
        <v>195</v>
      </c>
      <c r="AB14" s="77" t="s">
        <v>328</v>
      </c>
      <c r="AC14" s="138" t="s">
        <v>195</v>
      </c>
      <c r="AD14" s="146" t="s">
        <v>218</v>
      </c>
      <c r="AE14" s="146" t="s">
        <v>136</v>
      </c>
      <c r="AF14" s="136" t="str">
        <f>AR14</f>
        <v>ALTO</v>
      </c>
      <c r="AG14" s="77" t="s">
        <v>104</v>
      </c>
      <c r="AH14" s="136" t="str">
        <f>_xlfn.IFNA((AS14),"")</f>
        <v>ALTO</v>
      </c>
      <c r="AI14" s="77" t="s">
        <v>113</v>
      </c>
      <c r="AJ14" s="77" t="s">
        <v>123</v>
      </c>
      <c r="AK14" s="136" t="str">
        <f>_xlfn.IFNA((AT14),"")</f>
        <v>BAJO</v>
      </c>
      <c r="AL14" s="80" t="str">
        <f>VLOOKUP($AD14,[1]Tipologías!$B$3:$G$17,2,FALSE)</f>
        <v>ALTO</v>
      </c>
      <c r="AM14" s="80">
        <f t="shared" ref="AM14:AM64" si="2">IF(AD14="",0,IF(AL14="Bajo",1,IF(AL14="Medio",2,3)))</f>
        <v>3</v>
      </c>
      <c r="AN14" s="80" t="str">
        <f>VLOOKUP($AE14,[1]Tipologías!$A$21:$C$24,3,FALSE)</f>
        <v>ALTO</v>
      </c>
      <c r="AO14" s="80">
        <f t="shared" ref="AO14:AO64" si="3">IF(AE14="",0,IF(AN14="Bajo",1,IF(AN14="Medio",2,3)))</f>
        <v>3</v>
      </c>
      <c r="AP14" s="80">
        <f>VLOOKUP($AI14,[1]Tipologías!$A$38:$B$42,2,FALSE)</f>
        <v>1</v>
      </c>
      <c r="AQ14" s="80">
        <f>VLOOKUP($AJ14,[1]Tipologías!$A$46:$B$53,2,FALSE)</f>
        <v>0.5</v>
      </c>
      <c r="AR14" s="80" t="str">
        <f>IF(MAX(AM14,AO14)=3,"ALTO",IF(MAX(AM14,AO14)=2,"MEDIO",IF(MAX(AM14,AO14)=1,"BAJO","  ")))</f>
        <v>ALTO</v>
      </c>
      <c r="AS14" s="80" t="str">
        <f>VLOOKUP($AG14,[1]Tipologías!$A$29:$C$33,3,FALSE)</f>
        <v>ALTO</v>
      </c>
      <c r="AT14" s="80" t="str">
        <f>IF(SUM($AP14,$AQ14)&gt;=3,"ALTO",IF(SUM($AP14,$AQ14)&lt;2,"BAJO","MEDIO"))</f>
        <v>BAJO</v>
      </c>
      <c r="AU14" s="80" t="str">
        <f>_xlfn.IFNA(IF(AND(AR14="BAJO",AS14="BAJO",AT14="BAJO"),"BAJO",IF(AND(AR14="ALTO",AS14="ALTO",AT14="ALTO"),"ALTO",IF(COUNTIF(AR14:AT14,"ALTO")=2,"ALTO","MEDIO")))," ")</f>
        <v>ALTO</v>
      </c>
      <c r="AV14" s="80" t="str">
        <f>_xlfn.IFNA(VLOOKUP(AD14,[1]Tipologías!$B$3:$G$17,4,0),"")</f>
        <v>INFORMACIÓN PÚBLICA RESERVADA</v>
      </c>
      <c r="AW14" s="80" t="str">
        <f>IF(AV14="INFORMACIÓN PÚBLICA","IPB",IF(AV14="INFORMACIÓN PÚBLICA CLASIFICADA","IPC",IF(AV14="INFORMACIÓN PÚBLICA RESERVADA","IPR",IF(AV14="",""))))</f>
        <v>IPR</v>
      </c>
      <c r="AX14" s="104" t="str">
        <f>_xlfn.IFNA(VLOOKUP(AD14,[1]Tipologías!$B$3:$G$17,3,0),"")</f>
        <v>LEY 1712 DE 2014  ARTÍCULO 19 PARÁGRAFO "SE EXCEPTÚAN TAMBIÉN LOS DOCUMENTOS QUE CONTENGAN LAS OPINIONES O PUNTOS DE VISTA QUE FORMEN PARTE DEL PROCESO DELIBERATIVO DE LOS SERVIDORES PÚBLICOS."</v>
      </c>
      <c r="AY14" s="80" t="str">
        <f>_xlfn.IFNA(VLOOKUP(AD14,[1]Tipologías!$B$3:$G$17,5,0),"")</f>
        <v>LEY 1712 DE 2014 ARTÍCULO 19 PARÁGRAFO: SE EXCEPTÚAN TAMBIÉN LOS DOCUMENTOS QUE CONTENGAN LAS OPINIONES O PUNTOS DE VISTA QUE FORMEN PARTE DEL PROCESO DELIBERATIVO DE LOS SERVIDORES PÚBLICOS</v>
      </c>
      <c r="AZ14" s="80" t="str">
        <f>_xlfn.IFNA(VLOOKUP(AD14,[1]Tipologías!$B$3:$G$17,6,0),"")</f>
        <v xml:space="preserve">LEY 1712 DE 2014 ARTÍCULO 19  </v>
      </c>
      <c r="BA14" s="146" t="s">
        <v>197</v>
      </c>
      <c r="BB14" s="160">
        <v>45077</v>
      </c>
      <c r="BC14" s="146" t="s">
        <v>224</v>
      </c>
      <c r="BD14" s="146" t="s">
        <v>357</v>
      </c>
      <c r="BE14" s="146" t="s">
        <v>358</v>
      </c>
      <c r="BF14" s="230"/>
      <c r="BG14" s="230"/>
      <c r="BH14" s="230"/>
      <c r="BI14" s="230"/>
      <c r="BJ14" s="230"/>
      <c r="BK14" s="230"/>
      <c r="BL14" s="230"/>
      <c r="BM14" s="230"/>
      <c r="BN14" s="230"/>
      <c r="BO14" s="230"/>
      <c r="BP14" s="230"/>
      <c r="BQ14" s="230"/>
      <c r="BR14" s="230"/>
      <c r="BS14" s="230"/>
      <c r="BT14" s="230"/>
      <c r="BU14" s="230"/>
      <c r="BV14" s="230"/>
      <c r="BW14" s="230"/>
      <c r="BX14" s="230"/>
    </row>
    <row r="15" spans="1:76" s="67" customFormat="1" ht="207.75" customHeight="1" x14ac:dyDescent="0.2">
      <c r="A15" s="76">
        <v>6</v>
      </c>
      <c r="B15" s="107" t="s">
        <v>59</v>
      </c>
      <c r="C15" s="107" t="s">
        <v>302</v>
      </c>
      <c r="D15" s="100" t="s">
        <v>270</v>
      </c>
      <c r="E15" s="100" t="s">
        <v>359</v>
      </c>
      <c r="F15" s="100" t="s">
        <v>360</v>
      </c>
      <c r="G15" s="107" t="s">
        <v>174</v>
      </c>
      <c r="H15" s="100" t="s">
        <v>270</v>
      </c>
      <c r="I15" s="100" t="s">
        <v>361</v>
      </c>
      <c r="J15" s="107" t="s">
        <v>336</v>
      </c>
      <c r="K15" s="100" t="s">
        <v>320</v>
      </c>
      <c r="L15" s="100" t="s">
        <v>362</v>
      </c>
      <c r="M15" s="100" t="s">
        <v>195</v>
      </c>
      <c r="N15" s="100" t="s">
        <v>353</v>
      </c>
      <c r="O15" s="100" t="s">
        <v>144</v>
      </c>
      <c r="P15" s="100" t="s">
        <v>363</v>
      </c>
      <c r="Q15" s="77" t="s">
        <v>325</v>
      </c>
      <c r="R15" s="77" t="s">
        <v>325</v>
      </c>
      <c r="S15" s="100" t="s">
        <v>195</v>
      </c>
      <c r="T15" s="100" t="s">
        <v>195</v>
      </c>
      <c r="U15" s="77" t="s">
        <v>328</v>
      </c>
      <c r="V15" s="77" t="s">
        <v>328</v>
      </c>
      <c r="W15" s="77" t="s">
        <v>328</v>
      </c>
      <c r="X15" s="77" t="s">
        <v>328</v>
      </c>
      <c r="Y15" s="77" t="s">
        <v>329</v>
      </c>
      <c r="Z15" s="108" t="s">
        <v>329</v>
      </c>
      <c r="AA15" s="77" t="s">
        <v>328</v>
      </c>
      <c r="AB15" s="77" t="s">
        <v>328</v>
      </c>
      <c r="AC15" s="138" t="s">
        <v>195</v>
      </c>
      <c r="AD15" s="146" t="s">
        <v>206</v>
      </c>
      <c r="AE15" s="146" t="s">
        <v>130</v>
      </c>
      <c r="AF15" s="136" t="s">
        <v>92</v>
      </c>
      <c r="AG15" s="77" t="s">
        <v>104</v>
      </c>
      <c r="AH15" s="136" t="str">
        <f t="shared" ref="AH15:AH21" si="4">_xlfn.IFNA((AS15),"")</f>
        <v>ALTO</v>
      </c>
      <c r="AI15" s="77" t="s">
        <v>111</v>
      </c>
      <c r="AJ15" s="77" t="s">
        <v>117</v>
      </c>
      <c r="AK15" s="136" t="str">
        <f t="shared" ref="AK15:AK21" si="5">_xlfn.IFNA((AT15),"")</f>
        <v>ALTO</v>
      </c>
      <c r="AL15" s="80" t="str">
        <f>VLOOKUP($AD15,[1]Tipologías!$B$3:$G$17,2,FALSE)</f>
        <v>ALTO</v>
      </c>
      <c r="AM15" s="80">
        <f t="shared" si="2"/>
        <v>3</v>
      </c>
      <c r="AN15" s="80" t="str">
        <f>VLOOKUP($AE15,[1]Tipologías!$A$21:$C$24,3,FALSE)</f>
        <v>BAJO</v>
      </c>
      <c r="AO15" s="80">
        <f t="shared" si="3"/>
        <v>1</v>
      </c>
      <c r="AP15" s="80">
        <f>VLOOKUP($AI15,[1]Tipologías!$A$38:$B$42,2,FALSE)</f>
        <v>0.5</v>
      </c>
      <c r="AQ15" s="80">
        <f>VLOOKUP($AJ15,[1]Tipologías!$A$46:$B$53,2,FALSE)</f>
        <v>2.5</v>
      </c>
      <c r="AR15" s="80" t="str">
        <f>IF(MAX(AM15,AO15)=3,"ALTO",IF(MAX(AM15,AO15)=2,"MEDIO",IF(MAX(AM15,AO15)=1,"BAJO","  ")))</f>
        <v>ALTO</v>
      </c>
      <c r="AS15" s="80" t="str">
        <f>VLOOKUP($AG15,[1]Tipologías!$A$29:$C$33,3,FALSE)</f>
        <v>ALTO</v>
      </c>
      <c r="AT15" s="80" t="str">
        <f>IF(SUM($AP15,$AQ15)&gt;=3,"ALTO",IF(SUM($AP15,$AQ15)&lt;2,"BAJO","MEDIO"))</f>
        <v>ALTO</v>
      </c>
      <c r="AU15" s="80" t="str">
        <f>_xlfn.IFNA(IF(AND(AR15="BAJO",AS15="BAJO",AT15="BAJO"),"BAJO",IF(AND(AR15="ALTO",AS15="ALTO",AT15="ALTO"),"ALTO",IF(COUNTIF(AR15:AT15,"ALTO")=2,"ALTO","MEDIO")))," ")</f>
        <v>ALTO</v>
      </c>
      <c r="AV15" s="80" t="str">
        <f>_xlfn.IFNA(VLOOKUP(AD15,[1]Tipologías!$B$3:$G$17,4,0),"")</f>
        <v>INFORMACIÓN PÚBLICA CLASIFICADA</v>
      </c>
      <c r="AW15" s="80" t="str">
        <f t="shared" ref="AW15:AW21" si="6">IF(AV15="INFORMACIÓN PÚBLICA","IPB",IF(AV15="INFORMACIÓN PÚBLICA CLASIFICADA","IPC",IF(AV15="INFORMACIÓN PÚBLICA RESERVADA","IPR",IF(AV15="",""))))</f>
        <v>IPC</v>
      </c>
      <c r="AX15" s="80" t="str">
        <f>_xlfn.IFNA(VLOOKUP(AD15,[1]Tipologías!$B$3:$G$17,3,0),"")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5" s="80" t="str">
        <f>_xlfn.IFNA(VLOOKUP(AD15,[1]Tipologías!$B$3:$G$17,5,0),"")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5" s="80" t="str">
        <f>_xlfn.IFNA(VLOOKUP(AD15,[1]Tipologías!$B$3:$G$17,6,0),"")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5" s="146" t="s">
        <v>197</v>
      </c>
      <c r="BB15" s="160">
        <v>45077</v>
      </c>
      <c r="BC15" s="146" t="s">
        <v>201</v>
      </c>
      <c r="BD15" s="146" t="s">
        <v>357</v>
      </c>
      <c r="BE15" s="146" t="s">
        <v>358</v>
      </c>
      <c r="BF15" s="230"/>
      <c r="BG15" s="230"/>
      <c r="BH15" s="230"/>
      <c r="BI15" s="230"/>
      <c r="BJ15" s="230"/>
      <c r="BK15" s="230"/>
      <c r="BL15" s="230"/>
      <c r="BM15" s="230"/>
      <c r="BN15" s="230"/>
      <c r="BO15" s="230"/>
      <c r="BP15" s="230"/>
      <c r="BQ15" s="230"/>
      <c r="BR15" s="230"/>
      <c r="BS15" s="230"/>
      <c r="BT15" s="230"/>
      <c r="BU15" s="230"/>
      <c r="BV15" s="230"/>
      <c r="BW15" s="230"/>
      <c r="BX15" s="230"/>
    </row>
    <row r="16" spans="1:76" s="68" customFormat="1" ht="207.75" customHeight="1" x14ac:dyDescent="0.2">
      <c r="A16" s="76">
        <v>7</v>
      </c>
      <c r="B16" s="107" t="s">
        <v>59</v>
      </c>
      <c r="C16" s="107" t="s">
        <v>302</v>
      </c>
      <c r="D16" s="100" t="s">
        <v>270</v>
      </c>
      <c r="E16" s="100" t="s">
        <v>364</v>
      </c>
      <c r="F16" s="109" t="s">
        <v>365</v>
      </c>
      <c r="G16" s="107" t="s">
        <v>205</v>
      </c>
      <c r="H16" s="100" t="s">
        <v>72</v>
      </c>
      <c r="I16" s="100" t="s">
        <v>352</v>
      </c>
      <c r="J16" s="107" t="s">
        <v>336</v>
      </c>
      <c r="K16" s="100" t="s">
        <v>320</v>
      </c>
      <c r="L16" s="100" t="s">
        <v>321</v>
      </c>
      <c r="M16" s="100" t="s">
        <v>195</v>
      </c>
      <c r="N16" s="100" t="s">
        <v>353</v>
      </c>
      <c r="O16" s="100" t="s">
        <v>151</v>
      </c>
      <c r="P16" s="109" t="s">
        <v>366</v>
      </c>
      <c r="Q16" s="77" t="s">
        <v>325</v>
      </c>
      <c r="R16" s="77" t="s">
        <v>325</v>
      </c>
      <c r="S16" s="100" t="s">
        <v>367</v>
      </c>
      <c r="T16" s="100" t="s">
        <v>368</v>
      </c>
      <c r="U16" s="77" t="s">
        <v>328</v>
      </c>
      <c r="V16" s="77" t="s">
        <v>328</v>
      </c>
      <c r="W16" s="77" t="s">
        <v>328</v>
      </c>
      <c r="X16" s="77" t="s">
        <v>328</v>
      </c>
      <c r="Y16" s="77" t="s">
        <v>328</v>
      </c>
      <c r="Z16" s="108" t="s">
        <v>329</v>
      </c>
      <c r="AA16" s="77" t="s">
        <v>328</v>
      </c>
      <c r="AB16" s="77" t="s">
        <v>328</v>
      </c>
      <c r="AC16" s="138" t="s">
        <v>195</v>
      </c>
      <c r="AD16" s="146" t="s">
        <v>206</v>
      </c>
      <c r="AE16" s="146" t="s">
        <v>132</v>
      </c>
      <c r="AF16" s="136" t="s">
        <v>92</v>
      </c>
      <c r="AG16" s="77" t="s">
        <v>104</v>
      </c>
      <c r="AH16" s="136" t="str">
        <f t="shared" si="4"/>
        <v>ALTO</v>
      </c>
      <c r="AI16" s="77" t="s">
        <v>114</v>
      </c>
      <c r="AJ16" s="77" t="s">
        <v>117</v>
      </c>
      <c r="AK16" s="136" t="str">
        <f t="shared" si="5"/>
        <v>ALTO</v>
      </c>
      <c r="AL16" s="80" t="str">
        <f>VLOOKUP($AD16,[1]Tipologías!$B$3:$G$17,2,FALSE)</f>
        <v>ALTO</v>
      </c>
      <c r="AM16" s="80">
        <f t="shared" si="2"/>
        <v>3</v>
      </c>
      <c r="AN16" s="80" t="str">
        <f>VLOOKUP($AE16,[1]Tipologías!$A$21:$C$24,3,FALSE)</f>
        <v>MEDIO</v>
      </c>
      <c r="AO16" s="80">
        <f t="shared" si="3"/>
        <v>2</v>
      </c>
      <c r="AP16" s="80">
        <f>VLOOKUP($AI16,[1]Tipologías!$A$38:$B$42,2,FALSE)</f>
        <v>1.5</v>
      </c>
      <c r="AQ16" s="80">
        <f>VLOOKUP($AJ16,[1]Tipologías!$A$46:$B$53,2,FALSE)</f>
        <v>2.5</v>
      </c>
      <c r="AR16" s="80" t="str">
        <f t="shared" ref="AR16:AR21" si="7">IF(MAX(AM16,AO16)=3,"ALTO",IF(MAX(AM16,AO16)=2,"MEDIO",IF(MAX(AM16,AO16)=1,"BAJO","  ")))</f>
        <v>ALTO</v>
      </c>
      <c r="AS16" s="80" t="str">
        <f>VLOOKUP($AG16,[1]Tipologías!$A$29:$C$33,3,FALSE)</f>
        <v>ALTO</v>
      </c>
      <c r="AT16" s="80" t="str">
        <f t="shared" ref="AT16:AT21" si="8">IF(SUM($AP16,$AQ16)&gt;=3,"ALTO",IF(SUM($AP16,$AQ16)&lt;2,"BAJO","MEDIO"))</f>
        <v>ALTO</v>
      </c>
      <c r="AU16" s="80" t="str">
        <f t="shared" ref="AU16:AU21" si="9">_xlfn.IFNA(IF(AND(AR16="BAJO",AS16="BAJO",AT16="BAJO"),"BAJO",IF(AND(AR16="ALTO",AS16="ALTO",AT16="ALTO"),"ALTO",IF(COUNTIF(AR16:AT16,"ALTO")=2,"ALTO","MEDIO")))," ")</f>
        <v>ALTO</v>
      </c>
      <c r="AV16" s="80" t="str">
        <f>_xlfn.IFNA(VLOOKUP(AD16,[1]Tipologías!$B$3:$G$17,4,0),"")</f>
        <v>INFORMACIÓN PÚBLICA CLASIFICADA</v>
      </c>
      <c r="AW16" s="80" t="str">
        <f t="shared" si="6"/>
        <v>IPC</v>
      </c>
      <c r="AX16" s="80" t="str">
        <f>_xlfn.IFNA(VLOOKUP(AD16,[1]Tipologías!$B$3:$G$17,3,0),"")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6" s="80" t="str">
        <f>_xlfn.IFNA(VLOOKUP(AD16,[1]Tipologías!$B$3:$G$17,5,0),"")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6" s="80" t="str">
        <f>_xlfn.IFNA(VLOOKUP(AD16,[1]Tipologías!$B$3:$G$17,6,0),"")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6" s="146" t="s">
        <v>197</v>
      </c>
      <c r="BB16" s="160">
        <v>45077</v>
      </c>
      <c r="BC16" s="146" t="s">
        <v>224</v>
      </c>
      <c r="BD16" s="146" t="s">
        <v>357</v>
      </c>
      <c r="BE16" s="146" t="s">
        <v>358</v>
      </c>
      <c r="BF16" s="45"/>
      <c r="BG16" s="45"/>
      <c r="BH16" s="45"/>
      <c r="BI16" s="45"/>
      <c r="BJ16" s="45"/>
      <c r="BK16" s="45"/>
      <c r="BL16" s="45"/>
      <c r="BM16" s="45"/>
      <c r="BN16" s="45"/>
      <c r="BO16" s="45"/>
      <c r="BP16" s="45"/>
      <c r="BQ16" s="45"/>
      <c r="BR16" s="45"/>
      <c r="BS16" s="45"/>
      <c r="BT16" s="45"/>
      <c r="BU16" s="45"/>
      <c r="BV16" s="45"/>
      <c r="BW16" s="45"/>
      <c r="BX16" s="45"/>
    </row>
    <row r="17" spans="1:76" s="67" customFormat="1" ht="207.75" customHeight="1" x14ac:dyDescent="0.2">
      <c r="A17" s="76">
        <v>8</v>
      </c>
      <c r="B17" s="107" t="s">
        <v>59</v>
      </c>
      <c r="C17" s="107" t="s">
        <v>302</v>
      </c>
      <c r="D17" s="100" t="s">
        <v>270</v>
      </c>
      <c r="E17" s="100" t="s">
        <v>369</v>
      </c>
      <c r="F17" s="100" t="s">
        <v>370</v>
      </c>
      <c r="G17" s="107" t="s">
        <v>205</v>
      </c>
      <c r="H17" s="100" t="s">
        <v>72</v>
      </c>
      <c r="I17" s="100" t="s">
        <v>352</v>
      </c>
      <c r="J17" s="107" t="s">
        <v>336</v>
      </c>
      <c r="K17" s="100" t="s">
        <v>320</v>
      </c>
      <c r="L17" s="100" t="s">
        <v>321</v>
      </c>
      <c r="M17" s="100" t="s">
        <v>195</v>
      </c>
      <c r="N17" s="100" t="s">
        <v>353</v>
      </c>
      <c r="O17" s="100" t="s">
        <v>151</v>
      </c>
      <c r="P17" s="109" t="s">
        <v>366</v>
      </c>
      <c r="Q17" s="77" t="s">
        <v>325</v>
      </c>
      <c r="R17" s="77" t="s">
        <v>325</v>
      </c>
      <c r="S17" s="100" t="s">
        <v>367</v>
      </c>
      <c r="T17" s="100" t="s">
        <v>371</v>
      </c>
      <c r="U17" s="77" t="s">
        <v>328</v>
      </c>
      <c r="V17" s="77" t="s">
        <v>328</v>
      </c>
      <c r="W17" s="77" t="s">
        <v>328</v>
      </c>
      <c r="X17" s="77" t="s">
        <v>328</v>
      </c>
      <c r="Y17" s="77" t="s">
        <v>328</v>
      </c>
      <c r="Z17" s="77" t="s">
        <v>329</v>
      </c>
      <c r="AA17" s="77" t="s">
        <v>328</v>
      </c>
      <c r="AB17" s="77" t="s">
        <v>328</v>
      </c>
      <c r="AC17" s="138" t="s">
        <v>195</v>
      </c>
      <c r="AD17" s="146" t="s">
        <v>206</v>
      </c>
      <c r="AE17" s="146" t="s">
        <v>132</v>
      </c>
      <c r="AF17" s="136" t="s">
        <v>92</v>
      </c>
      <c r="AG17" s="77" t="s">
        <v>104</v>
      </c>
      <c r="AH17" s="136" t="str">
        <f t="shared" si="4"/>
        <v>ALTO</v>
      </c>
      <c r="AI17" s="77" t="s">
        <v>114</v>
      </c>
      <c r="AJ17" s="77" t="s">
        <v>117</v>
      </c>
      <c r="AK17" s="136" t="str">
        <f t="shared" si="5"/>
        <v>ALTO</v>
      </c>
      <c r="AL17" s="80" t="str">
        <f>VLOOKUP($AD17,[1]Tipologías!$B$3:$G$17,2,FALSE)</f>
        <v>ALTO</v>
      </c>
      <c r="AM17" s="80">
        <f t="shared" si="2"/>
        <v>3</v>
      </c>
      <c r="AN17" s="80" t="str">
        <f>VLOOKUP($AE17,[1]Tipologías!$A$21:$C$24,3,FALSE)</f>
        <v>MEDIO</v>
      </c>
      <c r="AO17" s="80">
        <f t="shared" si="3"/>
        <v>2</v>
      </c>
      <c r="AP17" s="80">
        <f>VLOOKUP($AI17,[1]Tipologías!$A$38:$B$42,2,FALSE)</f>
        <v>1.5</v>
      </c>
      <c r="AQ17" s="80">
        <f>VLOOKUP($AJ17,[1]Tipologías!$A$46:$B$53,2,FALSE)</f>
        <v>2.5</v>
      </c>
      <c r="AR17" s="80" t="str">
        <f t="shared" si="7"/>
        <v>ALTO</v>
      </c>
      <c r="AS17" s="80" t="str">
        <f>VLOOKUP($AG17,[1]Tipologías!$A$29:$C$33,3,FALSE)</f>
        <v>ALTO</v>
      </c>
      <c r="AT17" s="80" t="str">
        <f t="shared" si="8"/>
        <v>ALTO</v>
      </c>
      <c r="AU17" s="80" t="str">
        <f t="shared" si="9"/>
        <v>ALTO</v>
      </c>
      <c r="AV17" s="80" t="str">
        <f>_xlfn.IFNA(VLOOKUP(AD17,[1]Tipologías!$B$3:$G$17,4,0),"")</f>
        <v>INFORMACIÓN PÚBLICA CLASIFICADA</v>
      </c>
      <c r="AW17" s="80" t="str">
        <f t="shared" si="6"/>
        <v>IPC</v>
      </c>
      <c r="AX17" s="80" t="str">
        <f>_xlfn.IFNA(VLOOKUP(AD17,[1]Tipologías!$B$3:$G$17,3,0),"")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7" s="80" t="str">
        <f>_xlfn.IFNA(VLOOKUP(AD17,[1]Tipologías!$B$3:$G$17,5,0),"")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7" s="80" t="str">
        <f>_xlfn.IFNA(VLOOKUP(AD17,[1]Tipologías!$B$3:$G$17,6,0),"")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7" s="146" t="s">
        <v>197</v>
      </c>
      <c r="BB17" s="160">
        <v>45077</v>
      </c>
      <c r="BC17" s="146" t="s">
        <v>224</v>
      </c>
      <c r="BD17" s="146" t="s">
        <v>357</v>
      </c>
      <c r="BE17" s="146" t="s">
        <v>358</v>
      </c>
      <c r="BF17" s="45"/>
      <c r="BG17" s="45"/>
      <c r="BH17" s="45"/>
      <c r="BI17" s="45"/>
      <c r="BJ17" s="45"/>
      <c r="BK17" s="45"/>
      <c r="BL17" s="45"/>
      <c r="BM17" s="45"/>
      <c r="BN17" s="45"/>
      <c r="BO17" s="45"/>
      <c r="BP17" s="45"/>
      <c r="BQ17" s="45"/>
      <c r="BR17" s="45"/>
      <c r="BS17" s="45"/>
      <c r="BT17" s="45"/>
      <c r="BU17" s="45"/>
      <c r="BV17" s="45"/>
      <c r="BW17" s="45"/>
      <c r="BX17" s="45"/>
    </row>
    <row r="18" spans="1:76" s="68" customFormat="1" ht="207.75" customHeight="1" x14ac:dyDescent="0.2">
      <c r="A18" s="76">
        <v>9</v>
      </c>
      <c r="B18" s="107" t="s">
        <v>59</v>
      </c>
      <c r="C18" s="107" t="s">
        <v>302</v>
      </c>
      <c r="D18" s="100" t="s">
        <v>270</v>
      </c>
      <c r="E18" s="100" t="s">
        <v>372</v>
      </c>
      <c r="F18" s="100" t="s">
        <v>373</v>
      </c>
      <c r="G18" s="107" t="s">
        <v>140</v>
      </c>
      <c r="H18" s="100" t="s">
        <v>72</v>
      </c>
      <c r="I18" s="100" t="s">
        <v>374</v>
      </c>
      <c r="J18" s="107" t="s">
        <v>336</v>
      </c>
      <c r="K18" s="100" t="s">
        <v>320</v>
      </c>
      <c r="L18" s="100" t="s">
        <v>362</v>
      </c>
      <c r="M18" s="100" t="s">
        <v>195</v>
      </c>
      <c r="N18" s="100" t="s">
        <v>375</v>
      </c>
      <c r="O18" s="100" t="s">
        <v>144</v>
      </c>
      <c r="P18" s="100" t="s">
        <v>363</v>
      </c>
      <c r="Q18" s="77" t="s">
        <v>325</v>
      </c>
      <c r="R18" s="77" t="s">
        <v>325</v>
      </c>
      <c r="S18" s="100" t="s">
        <v>195</v>
      </c>
      <c r="T18" s="100" t="s">
        <v>195</v>
      </c>
      <c r="U18" s="77" t="s">
        <v>328</v>
      </c>
      <c r="V18" s="77" t="s">
        <v>328</v>
      </c>
      <c r="W18" s="77" t="s">
        <v>328</v>
      </c>
      <c r="X18" s="77" t="s">
        <v>328</v>
      </c>
      <c r="Y18" s="77" t="s">
        <v>328</v>
      </c>
      <c r="Z18" s="77" t="s">
        <v>329</v>
      </c>
      <c r="AA18" s="77" t="s">
        <v>328</v>
      </c>
      <c r="AB18" s="77" t="s">
        <v>328</v>
      </c>
      <c r="AC18" s="138" t="s">
        <v>195</v>
      </c>
      <c r="AD18" s="146" t="s">
        <v>206</v>
      </c>
      <c r="AE18" s="146" t="s">
        <v>130</v>
      </c>
      <c r="AF18" s="136" t="s">
        <v>92</v>
      </c>
      <c r="AG18" s="77" t="s">
        <v>104</v>
      </c>
      <c r="AH18" s="136" t="str">
        <f t="shared" si="4"/>
        <v>ALTO</v>
      </c>
      <c r="AI18" s="77" t="s">
        <v>111</v>
      </c>
      <c r="AJ18" s="77" t="s">
        <v>117</v>
      </c>
      <c r="AK18" s="136" t="str">
        <f t="shared" si="5"/>
        <v>ALTO</v>
      </c>
      <c r="AL18" s="80" t="str">
        <f>VLOOKUP($AD18,[1]Tipologías!$B$3:$G$17,2,FALSE)</f>
        <v>ALTO</v>
      </c>
      <c r="AM18" s="80">
        <f t="shared" si="2"/>
        <v>3</v>
      </c>
      <c r="AN18" s="80" t="str">
        <f>VLOOKUP($AE18,[1]Tipologías!$A$21:$C$24,3,FALSE)</f>
        <v>BAJO</v>
      </c>
      <c r="AO18" s="80">
        <f t="shared" si="3"/>
        <v>1</v>
      </c>
      <c r="AP18" s="80">
        <f>VLOOKUP($AI18,[1]Tipologías!$A$38:$B$42,2,FALSE)</f>
        <v>0.5</v>
      </c>
      <c r="AQ18" s="80">
        <f>VLOOKUP($AJ18,[1]Tipologías!$A$46:$B$53,2,FALSE)</f>
        <v>2.5</v>
      </c>
      <c r="AR18" s="80" t="str">
        <f t="shared" si="7"/>
        <v>ALTO</v>
      </c>
      <c r="AS18" s="80" t="str">
        <f>VLOOKUP($AG18,[1]Tipologías!$A$29:$C$33,3,FALSE)</f>
        <v>ALTO</v>
      </c>
      <c r="AT18" s="80" t="str">
        <f t="shared" si="8"/>
        <v>ALTO</v>
      </c>
      <c r="AU18" s="80" t="str">
        <f t="shared" si="9"/>
        <v>ALTO</v>
      </c>
      <c r="AV18" s="80" t="str">
        <f>_xlfn.IFNA(VLOOKUP(AD18,[1]Tipologías!$B$3:$G$17,4,0),"")</f>
        <v>INFORMACIÓN PÚBLICA CLASIFICADA</v>
      </c>
      <c r="AW18" s="80" t="str">
        <f t="shared" si="6"/>
        <v>IPC</v>
      </c>
      <c r="AX18" s="80" t="str">
        <f>_xlfn.IFNA(VLOOKUP(AD18,[1]Tipologías!$B$3:$G$17,3,0),"")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8" s="80" t="str">
        <f>_xlfn.IFNA(VLOOKUP(AD18,[1]Tipologías!$B$3:$G$17,5,0),"")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8" s="80" t="str">
        <f>_xlfn.IFNA(VLOOKUP(AD18,[1]Tipologías!$B$3:$G$17,6,0),"")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8" s="146" t="s">
        <v>197</v>
      </c>
      <c r="BB18" s="160">
        <v>45077</v>
      </c>
      <c r="BC18" s="146" t="s">
        <v>201</v>
      </c>
      <c r="BD18" s="146" t="s">
        <v>357</v>
      </c>
      <c r="BE18" s="146" t="s">
        <v>358</v>
      </c>
      <c r="BF18" s="45"/>
      <c r="BG18" s="45"/>
      <c r="BH18" s="45"/>
      <c r="BI18" s="45"/>
      <c r="BJ18" s="45"/>
      <c r="BK18" s="45"/>
      <c r="BL18" s="45"/>
      <c r="BM18" s="45"/>
      <c r="BN18" s="45"/>
      <c r="BO18" s="45"/>
      <c r="BP18" s="45"/>
      <c r="BQ18" s="45"/>
      <c r="BR18" s="45"/>
      <c r="BS18" s="45"/>
      <c r="BT18" s="45"/>
      <c r="BU18" s="45"/>
      <c r="BV18" s="45"/>
      <c r="BW18" s="45"/>
      <c r="BX18" s="45"/>
    </row>
    <row r="19" spans="1:76" s="67" customFormat="1" ht="207.75" customHeight="1" x14ac:dyDescent="0.2">
      <c r="A19" s="76">
        <v>10</v>
      </c>
      <c r="B19" s="107" t="s">
        <v>59</v>
      </c>
      <c r="C19" s="107" t="s">
        <v>302</v>
      </c>
      <c r="D19" s="100" t="s">
        <v>270</v>
      </c>
      <c r="E19" s="100" t="s">
        <v>372</v>
      </c>
      <c r="F19" s="100" t="s">
        <v>373</v>
      </c>
      <c r="G19" s="107" t="s">
        <v>141</v>
      </c>
      <c r="H19" s="100" t="s">
        <v>72</v>
      </c>
      <c r="I19" s="100" t="s">
        <v>374</v>
      </c>
      <c r="J19" s="107" t="s">
        <v>336</v>
      </c>
      <c r="K19" s="100" t="s">
        <v>320</v>
      </c>
      <c r="L19" s="100" t="s">
        <v>362</v>
      </c>
      <c r="M19" s="100" t="s">
        <v>195</v>
      </c>
      <c r="N19" s="100" t="s">
        <v>375</v>
      </c>
      <c r="O19" s="100" t="s">
        <v>144</v>
      </c>
      <c r="P19" s="100" t="s">
        <v>363</v>
      </c>
      <c r="Q19" s="77" t="s">
        <v>325</v>
      </c>
      <c r="R19" s="77" t="s">
        <v>325</v>
      </c>
      <c r="S19" s="100" t="s">
        <v>195</v>
      </c>
      <c r="T19" s="100" t="s">
        <v>195</v>
      </c>
      <c r="U19" s="77" t="s">
        <v>328</v>
      </c>
      <c r="V19" s="77" t="s">
        <v>328</v>
      </c>
      <c r="W19" s="77" t="s">
        <v>328</v>
      </c>
      <c r="X19" s="77" t="s">
        <v>328</v>
      </c>
      <c r="Y19" s="77" t="s">
        <v>328</v>
      </c>
      <c r="Z19" s="77" t="s">
        <v>329</v>
      </c>
      <c r="AA19" s="77" t="s">
        <v>328</v>
      </c>
      <c r="AB19" s="77" t="s">
        <v>328</v>
      </c>
      <c r="AC19" s="138" t="s">
        <v>195</v>
      </c>
      <c r="AD19" s="146" t="s">
        <v>206</v>
      </c>
      <c r="AE19" s="146" t="s">
        <v>130</v>
      </c>
      <c r="AF19" s="136" t="s">
        <v>92</v>
      </c>
      <c r="AG19" s="77" t="s">
        <v>104</v>
      </c>
      <c r="AH19" s="136" t="str">
        <f t="shared" si="4"/>
        <v>ALTO</v>
      </c>
      <c r="AI19" s="77" t="s">
        <v>111</v>
      </c>
      <c r="AJ19" s="77" t="s">
        <v>117</v>
      </c>
      <c r="AK19" s="136" t="str">
        <f t="shared" si="5"/>
        <v>ALTO</v>
      </c>
      <c r="AL19" s="80" t="str">
        <f>VLOOKUP($AD19,[1]Tipologías!$B$3:$G$17,2,FALSE)</f>
        <v>ALTO</v>
      </c>
      <c r="AM19" s="80">
        <f t="shared" si="2"/>
        <v>3</v>
      </c>
      <c r="AN19" s="80" t="str">
        <f>VLOOKUP($AE19,[1]Tipologías!$A$21:$C$24,3,FALSE)</f>
        <v>BAJO</v>
      </c>
      <c r="AO19" s="80">
        <f t="shared" si="3"/>
        <v>1</v>
      </c>
      <c r="AP19" s="80">
        <f>VLOOKUP($AI19,[1]Tipologías!$A$38:$B$42,2,FALSE)</f>
        <v>0.5</v>
      </c>
      <c r="AQ19" s="80">
        <f>VLOOKUP($AJ19,[1]Tipologías!$A$46:$B$53,2,FALSE)</f>
        <v>2.5</v>
      </c>
      <c r="AR19" s="80" t="str">
        <f t="shared" si="7"/>
        <v>ALTO</v>
      </c>
      <c r="AS19" s="80" t="str">
        <f>VLOOKUP($AG19,[1]Tipologías!$A$29:$C$33,3,FALSE)</f>
        <v>ALTO</v>
      </c>
      <c r="AT19" s="80" t="str">
        <f t="shared" si="8"/>
        <v>ALTO</v>
      </c>
      <c r="AU19" s="80" t="str">
        <f t="shared" si="9"/>
        <v>ALTO</v>
      </c>
      <c r="AV19" s="80" t="str">
        <f>_xlfn.IFNA(VLOOKUP(AD19,[1]Tipologías!$B$3:$G$17,4,0),"")</f>
        <v>INFORMACIÓN PÚBLICA CLASIFICADA</v>
      </c>
      <c r="AW19" s="80" t="str">
        <f t="shared" si="6"/>
        <v>IPC</v>
      </c>
      <c r="AX19" s="80" t="str">
        <f>_xlfn.IFNA(VLOOKUP(AD19,[1]Tipologías!$B$3:$G$17,3,0),"")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9" s="80" t="str">
        <f>_xlfn.IFNA(VLOOKUP(AD19,[1]Tipologías!$B$3:$G$17,5,0),"")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9" s="80" t="str">
        <f>_xlfn.IFNA(VLOOKUP(AD19,[1]Tipologías!$B$3:$G$17,6,0),"")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9" s="146" t="s">
        <v>197</v>
      </c>
      <c r="BB19" s="160">
        <v>45077</v>
      </c>
      <c r="BC19" s="146" t="s">
        <v>201</v>
      </c>
      <c r="BD19" s="146" t="s">
        <v>357</v>
      </c>
      <c r="BE19" s="146" t="s">
        <v>358</v>
      </c>
      <c r="BF19" s="45"/>
      <c r="BG19" s="45"/>
      <c r="BH19" s="45"/>
      <c r="BI19" s="45"/>
      <c r="BJ19" s="45"/>
      <c r="BK19" s="45"/>
      <c r="BL19" s="45"/>
      <c r="BM19" s="45"/>
      <c r="BN19" s="45"/>
      <c r="BO19" s="45"/>
      <c r="BP19" s="45"/>
      <c r="BQ19" s="45"/>
      <c r="BR19" s="45"/>
      <c r="BS19" s="45"/>
      <c r="BT19" s="45"/>
      <c r="BU19" s="45"/>
      <c r="BV19" s="45"/>
      <c r="BW19" s="45"/>
      <c r="BX19" s="45"/>
    </row>
    <row r="20" spans="1:76" s="67" customFormat="1" ht="207.75" customHeight="1" x14ac:dyDescent="0.2">
      <c r="A20" s="76">
        <v>11</v>
      </c>
      <c r="B20" s="107" t="s">
        <v>59</v>
      </c>
      <c r="C20" s="107" t="s">
        <v>302</v>
      </c>
      <c r="D20" s="100" t="s">
        <v>270</v>
      </c>
      <c r="E20" s="100" t="s">
        <v>372</v>
      </c>
      <c r="F20" s="100" t="s">
        <v>373</v>
      </c>
      <c r="G20" s="107" t="s">
        <v>199</v>
      </c>
      <c r="H20" s="100" t="s">
        <v>72</v>
      </c>
      <c r="I20" s="100" t="s">
        <v>376</v>
      </c>
      <c r="J20" s="107" t="s">
        <v>336</v>
      </c>
      <c r="K20" s="100" t="s">
        <v>320</v>
      </c>
      <c r="L20" s="100" t="s">
        <v>362</v>
      </c>
      <c r="M20" s="100" t="s">
        <v>195</v>
      </c>
      <c r="N20" s="100" t="s">
        <v>375</v>
      </c>
      <c r="O20" s="100" t="s">
        <v>144</v>
      </c>
      <c r="P20" s="100" t="s">
        <v>363</v>
      </c>
      <c r="Q20" s="77" t="s">
        <v>325</v>
      </c>
      <c r="R20" s="77" t="s">
        <v>325</v>
      </c>
      <c r="S20" s="100" t="s">
        <v>195</v>
      </c>
      <c r="T20" s="100" t="s">
        <v>195</v>
      </c>
      <c r="U20" s="77" t="s">
        <v>328</v>
      </c>
      <c r="V20" s="77" t="s">
        <v>328</v>
      </c>
      <c r="W20" s="77" t="s">
        <v>328</v>
      </c>
      <c r="X20" s="77" t="s">
        <v>328</v>
      </c>
      <c r="Y20" s="77" t="s">
        <v>328</v>
      </c>
      <c r="Z20" s="77" t="s">
        <v>329</v>
      </c>
      <c r="AA20" s="77" t="s">
        <v>328</v>
      </c>
      <c r="AB20" s="77" t="s">
        <v>328</v>
      </c>
      <c r="AC20" s="138" t="s">
        <v>195</v>
      </c>
      <c r="AD20" s="146" t="s">
        <v>206</v>
      </c>
      <c r="AE20" s="146" t="s">
        <v>130</v>
      </c>
      <c r="AF20" s="136" t="s">
        <v>92</v>
      </c>
      <c r="AG20" s="77" t="s">
        <v>104</v>
      </c>
      <c r="AH20" s="136" t="str">
        <f t="shared" si="4"/>
        <v>ALTO</v>
      </c>
      <c r="AI20" s="77" t="s">
        <v>111</v>
      </c>
      <c r="AJ20" s="77" t="s">
        <v>117</v>
      </c>
      <c r="AK20" s="136" t="str">
        <f t="shared" si="5"/>
        <v>ALTO</v>
      </c>
      <c r="AL20" s="80" t="str">
        <f>VLOOKUP($AD20,[1]Tipologías!$B$3:$G$17,2,FALSE)</f>
        <v>ALTO</v>
      </c>
      <c r="AM20" s="80">
        <f t="shared" si="2"/>
        <v>3</v>
      </c>
      <c r="AN20" s="80" t="str">
        <f>VLOOKUP($AE20,[1]Tipologías!$A$21:$C$24,3,FALSE)</f>
        <v>BAJO</v>
      </c>
      <c r="AO20" s="80">
        <f t="shared" si="3"/>
        <v>1</v>
      </c>
      <c r="AP20" s="80">
        <f>VLOOKUP($AI20,[1]Tipologías!$A$38:$B$42,2,FALSE)</f>
        <v>0.5</v>
      </c>
      <c r="AQ20" s="80">
        <f>VLOOKUP($AJ20,[1]Tipologías!$A$46:$B$53,2,FALSE)</f>
        <v>2.5</v>
      </c>
      <c r="AR20" s="80" t="str">
        <f t="shared" si="7"/>
        <v>ALTO</v>
      </c>
      <c r="AS20" s="80" t="str">
        <f>VLOOKUP($AG20,[1]Tipologías!$A$29:$C$33,3,FALSE)</f>
        <v>ALTO</v>
      </c>
      <c r="AT20" s="80" t="str">
        <f t="shared" si="8"/>
        <v>ALTO</v>
      </c>
      <c r="AU20" s="80" t="str">
        <f t="shared" si="9"/>
        <v>ALTO</v>
      </c>
      <c r="AV20" s="80" t="str">
        <f>_xlfn.IFNA(VLOOKUP(AD20,[1]Tipologías!$B$3:$G$17,4,0),"")</f>
        <v>INFORMACIÓN PÚBLICA CLASIFICADA</v>
      </c>
      <c r="AW20" s="80" t="str">
        <f t="shared" si="6"/>
        <v>IPC</v>
      </c>
      <c r="AX20" s="80" t="str">
        <f>_xlfn.IFNA(VLOOKUP(AD20,[1]Tipologías!$B$3:$G$17,3,0),"")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20" s="80" t="str">
        <f>_xlfn.IFNA(VLOOKUP(AD20,[1]Tipologías!$B$3:$G$17,5,0),"")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20" s="80" t="str">
        <f>_xlfn.IFNA(VLOOKUP(AD20,[1]Tipologías!$B$3:$G$17,6,0),"")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20" s="146" t="s">
        <v>197</v>
      </c>
      <c r="BB20" s="160">
        <v>45077</v>
      </c>
      <c r="BC20" s="146" t="s">
        <v>201</v>
      </c>
      <c r="BD20" s="146" t="s">
        <v>357</v>
      </c>
      <c r="BE20" s="146" t="s">
        <v>358</v>
      </c>
      <c r="BF20" s="45"/>
      <c r="BG20" s="45"/>
      <c r="BH20" s="45"/>
      <c r="BI20" s="45"/>
      <c r="BJ20" s="45"/>
      <c r="BK20" s="45"/>
      <c r="BL20" s="45"/>
      <c r="BM20" s="45"/>
      <c r="BN20" s="45"/>
      <c r="BO20" s="45"/>
      <c r="BP20" s="45"/>
      <c r="BQ20" s="45"/>
      <c r="BR20" s="45"/>
      <c r="BS20" s="45"/>
      <c r="BT20" s="45"/>
      <c r="BU20" s="45"/>
      <c r="BV20" s="45"/>
      <c r="BW20" s="45"/>
      <c r="BX20" s="45"/>
    </row>
    <row r="21" spans="1:76" s="67" customFormat="1" ht="207.75" customHeight="1" x14ac:dyDescent="0.2">
      <c r="A21" s="76">
        <v>12</v>
      </c>
      <c r="B21" s="107" t="s">
        <v>59</v>
      </c>
      <c r="C21" s="107" t="s">
        <v>302</v>
      </c>
      <c r="D21" s="100" t="s">
        <v>270</v>
      </c>
      <c r="E21" s="100" t="s">
        <v>377</v>
      </c>
      <c r="F21" s="100" t="s">
        <v>378</v>
      </c>
      <c r="G21" s="107" t="s">
        <v>173</v>
      </c>
      <c r="H21" s="100" t="s">
        <v>72</v>
      </c>
      <c r="I21" s="100" t="s">
        <v>72</v>
      </c>
      <c r="J21" s="100" t="s">
        <v>195</v>
      </c>
      <c r="K21" s="100" t="s">
        <v>320</v>
      </c>
      <c r="L21" s="100" t="s">
        <v>195</v>
      </c>
      <c r="M21" s="100" t="s">
        <v>195</v>
      </c>
      <c r="N21" s="100" t="s">
        <v>195</v>
      </c>
      <c r="O21" s="100" t="s">
        <v>195</v>
      </c>
      <c r="P21" s="100" t="s">
        <v>195</v>
      </c>
      <c r="Q21" s="77" t="s">
        <v>195</v>
      </c>
      <c r="R21" s="77" t="s">
        <v>195</v>
      </c>
      <c r="S21" s="100" t="s">
        <v>195</v>
      </c>
      <c r="T21" s="100" t="s">
        <v>195</v>
      </c>
      <c r="U21" s="77" t="s">
        <v>195</v>
      </c>
      <c r="V21" s="77" t="s">
        <v>195</v>
      </c>
      <c r="W21" s="77" t="s">
        <v>195</v>
      </c>
      <c r="X21" s="77" t="s">
        <v>195</v>
      </c>
      <c r="Y21" s="77" t="s">
        <v>195</v>
      </c>
      <c r="Z21" s="77" t="s">
        <v>195</v>
      </c>
      <c r="AA21" s="77" t="s">
        <v>195</v>
      </c>
      <c r="AB21" s="77" t="s">
        <v>195</v>
      </c>
      <c r="AC21" s="138" t="s">
        <v>195</v>
      </c>
      <c r="AD21" s="146" t="s">
        <v>208</v>
      </c>
      <c r="AE21" s="146" t="s">
        <v>132</v>
      </c>
      <c r="AF21" s="136" t="s">
        <v>92</v>
      </c>
      <c r="AG21" s="77" t="s">
        <v>104</v>
      </c>
      <c r="AH21" s="136" t="str">
        <f t="shared" si="4"/>
        <v>ALTO</v>
      </c>
      <c r="AI21" s="77" t="s">
        <v>111</v>
      </c>
      <c r="AJ21" s="77" t="s">
        <v>117</v>
      </c>
      <c r="AK21" s="136" t="str">
        <f t="shared" si="5"/>
        <v>ALTO</v>
      </c>
      <c r="AL21" s="80" t="str">
        <f>VLOOKUP($AD21,[1]Tipologías!$B$3:$G$17,2,FALSE)</f>
        <v>ALTO</v>
      </c>
      <c r="AM21" s="80">
        <f t="shared" si="2"/>
        <v>3</v>
      </c>
      <c r="AN21" s="80" t="str">
        <f>VLOOKUP($AE21,[1]Tipologías!$A$21:$C$24,3,FALSE)</f>
        <v>MEDIO</v>
      </c>
      <c r="AO21" s="80">
        <f t="shared" si="3"/>
        <v>2</v>
      </c>
      <c r="AP21" s="80">
        <f>VLOOKUP($AI21,[1]Tipologías!$A$38:$B$42,2,FALSE)</f>
        <v>0.5</v>
      </c>
      <c r="AQ21" s="80">
        <f>VLOOKUP($AJ21,[1]Tipologías!$A$46:$B$53,2,FALSE)</f>
        <v>2.5</v>
      </c>
      <c r="AR21" s="80" t="str">
        <f t="shared" si="7"/>
        <v>ALTO</v>
      </c>
      <c r="AS21" s="80" t="str">
        <f>VLOOKUP($AG21,[1]Tipologías!$A$29:$C$33,3,FALSE)</f>
        <v>ALTO</v>
      </c>
      <c r="AT21" s="80" t="str">
        <f t="shared" si="8"/>
        <v>ALTO</v>
      </c>
      <c r="AU21" s="80" t="str">
        <f t="shared" si="9"/>
        <v>ALTO</v>
      </c>
      <c r="AV21" s="80" t="str">
        <f>_xlfn.IFNA(VLOOKUP(AD21,[1]Tipologías!$B$3:$G$17,4,0),"")</f>
        <v>INFORMACIÓN PÚBLICA CLASIFICADA</v>
      </c>
      <c r="AW21" s="80" t="str">
        <f t="shared" si="6"/>
        <v>IPC</v>
      </c>
      <c r="AX21" s="80" t="str">
        <f>_xlfn.IFNA(VLOOKUP(AD21,[1]Tipologías!$B$3:$G$17,3,0),"")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21" s="80" t="str">
        <f>_xlfn.IFNA(VLOOKUP(AD21,[1]Tipologías!$B$3:$G$17,5,0),"")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21" s="80" t="str">
        <f>_xlfn.IFNA(VLOOKUP(AD21,[1]Tipologías!$B$3:$G$17,6,0),"")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21" s="146" t="s">
        <v>195</v>
      </c>
      <c r="BB21" s="160">
        <v>45077</v>
      </c>
      <c r="BC21" s="146" t="s">
        <v>195</v>
      </c>
      <c r="BD21" s="146" t="s">
        <v>357</v>
      </c>
      <c r="BE21" s="146" t="s">
        <v>358</v>
      </c>
      <c r="BF21" s="45"/>
      <c r="BG21" s="45"/>
      <c r="BH21" s="45"/>
      <c r="BI21" s="45"/>
      <c r="BJ21" s="45"/>
      <c r="BK21" s="45"/>
      <c r="BL21" s="45"/>
      <c r="BM21" s="45"/>
      <c r="BN21" s="45"/>
      <c r="BO21" s="45"/>
      <c r="BP21" s="45"/>
      <c r="BQ21" s="45"/>
      <c r="BR21" s="45"/>
      <c r="BS21" s="45"/>
      <c r="BT21" s="45"/>
      <c r="BU21" s="45"/>
      <c r="BV21" s="45"/>
      <c r="BW21" s="45"/>
      <c r="BX21" s="45"/>
    </row>
    <row r="22" spans="1:76" s="68" customFormat="1" ht="207.75" customHeight="1" x14ac:dyDescent="0.2">
      <c r="A22" s="76">
        <v>13</v>
      </c>
      <c r="B22" s="74" t="s">
        <v>59</v>
      </c>
      <c r="C22" s="74" t="s">
        <v>305</v>
      </c>
      <c r="D22" s="100" t="s">
        <v>277</v>
      </c>
      <c r="E22" s="100" t="s">
        <v>379</v>
      </c>
      <c r="F22" s="75" t="s">
        <v>380</v>
      </c>
      <c r="G22" s="74" t="s">
        <v>174</v>
      </c>
      <c r="H22" s="75" t="s">
        <v>277</v>
      </c>
      <c r="I22" s="75" t="s">
        <v>381</v>
      </c>
      <c r="J22" s="115" t="s">
        <v>336</v>
      </c>
      <c r="K22" s="100" t="s">
        <v>320</v>
      </c>
      <c r="L22" s="75" t="s">
        <v>321</v>
      </c>
      <c r="M22" s="116" t="s">
        <v>195</v>
      </c>
      <c r="N22" s="75" t="s">
        <v>382</v>
      </c>
      <c r="O22" s="116" t="s">
        <v>151</v>
      </c>
      <c r="P22" s="100" t="s">
        <v>339</v>
      </c>
      <c r="Q22" s="76" t="s">
        <v>195</v>
      </c>
      <c r="R22" s="76" t="s">
        <v>325</v>
      </c>
      <c r="S22" s="100" t="s">
        <v>195</v>
      </c>
      <c r="T22" s="100" t="s">
        <v>195</v>
      </c>
      <c r="U22" s="77" t="s">
        <v>328</v>
      </c>
      <c r="V22" s="77" t="s">
        <v>328</v>
      </c>
      <c r="W22" s="77" t="s">
        <v>328</v>
      </c>
      <c r="X22" s="77" t="s">
        <v>329</v>
      </c>
      <c r="Y22" s="77" t="s">
        <v>329</v>
      </c>
      <c r="Z22" s="77" t="s">
        <v>329</v>
      </c>
      <c r="AA22" s="77" t="s">
        <v>328</v>
      </c>
      <c r="AB22" s="77" t="s">
        <v>329</v>
      </c>
      <c r="AC22" s="138" t="s">
        <v>195</v>
      </c>
      <c r="AD22" s="142" t="s">
        <v>206</v>
      </c>
      <c r="AE22" s="142" t="s">
        <v>134</v>
      </c>
      <c r="AF22" s="136" t="str">
        <f>AR22</f>
        <v>ALTO</v>
      </c>
      <c r="AG22" s="77" t="s">
        <v>104</v>
      </c>
      <c r="AH22" s="136" t="str">
        <f t="shared" ref="AH22:AH27" si="10">_xlfn.IFNA((AS22),"")</f>
        <v>ALTO</v>
      </c>
      <c r="AI22" s="78" t="s">
        <v>114</v>
      </c>
      <c r="AJ22" s="77" t="s">
        <v>117</v>
      </c>
      <c r="AK22" s="136" t="str">
        <f>_xlfn.IFNA((AT22),"")</f>
        <v>ALTO</v>
      </c>
      <c r="AL22" s="80" t="str">
        <f>VLOOKUP($AD22,[2]Tipologías!$B$3:$G$17,2,FALSE)</f>
        <v>ALTO</v>
      </c>
      <c r="AM22" s="80">
        <f t="shared" si="2"/>
        <v>3</v>
      </c>
      <c r="AN22" s="80" t="str">
        <f>VLOOKUP($AE22,[2]Tipologías!$A$21:$C$24,3,FALSE)</f>
        <v>ALTO</v>
      </c>
      <c r="AO22" s="80">
        <f t="shared" si="3"/>
        <v>3</v>
      </c>
      <c r="AP22" s="80">
        <f>VLOOKUP($AI22,[2]Tipologías!$A$38:$B$42,2,FALSE)</f>
        <v>1.5</v>
      </c>
      <c r="AQ22" s="80">
        <f>VLOOKUP($AJ22,[2]Tipologías!$A$46:$B$53,2,FALSE)</f>
        <v>2.5</v>
      </c>
      <c r="AR22" s="80" t="str">
        <f>IF(MAX(AM22,AO22)=3,"ALTO",IF(MAX(AM22,AO22)=2,"MEDIO",IF(MAX(AM22,AO22)=1,"BAJO","  ")))</f>
        <v>ALTO</v>
      </c>
      <c r="AS22" s="80" t="str">
        <f>VLOOKUP($AG22,[2]Tipologías!$A$29:$C$33,3,FALSE)</f>
        <v>ALTO</v>
      </c>
      <c r="AT22" s="80" t="str">
        <f>IF(SUM($AP22,$AQ22)&gt;=3,"ALTO",IF(SUM($AP22,$AQ22)&lt;2,"BAJO","MEDIO"))</f>
        <v>ALTO</v>
      </c>
      <c r="AU22" s="80" t="str">
        <f>_xlfn.IFNA(IF(AND(AR22="BAJO",AS22="BAJO",AT22="BAJO"),"BAJO",IF(AND(AR22="ALTO",AS22="ALTO",AT22="ALTO"),"ALTO",IF(COUNTIF(AR22:AT22,"ALTO")=2,"ALTO","MEDIO")))," ")</f>
        <v>ALTO</v>
      </c>
      <c r="AV22" s="80" t="str">
        <f>_xlfn.IFNA(VLOOKUP(AD22,[2]Tipologías!$B$3:$G$17,4,0),"")</f>
        <v>INFORMACIÓN PÚBLICA CLASIFICADA</v>
      </c>
      <c r="AW22" s="80" t="str">
        <f>IF(AV22="INFORMACIÓN PÚBLICA","IPB",IF(AV22="INFORMACIÓN PÚBLICA CLASIFICADA","IPC",IF(AV22="INFORMACIÓN PÚBLICA RESERVADA","IPR",IF(AV22="",""))))</f>
        <v>IPC</v>
      </c>
      <c r="AX22" s="80" t="str">
        <f>_xlfn.IFNA(VLOOKUP(AD22,[2]Tipologías!$B$3:$G$17,3,0),"")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22" s="80" t="str">
        <f>_xlfn.IFNA(VLOOKUP(AD22,[2]Tipologías!$B$3:$G$17,5,0),"")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22" s="80" t="str">
        <f>_xlfn.IFNA(VLOOKUP(AD22,[2]Tipologías!$B$3:$G$17,6,0),"")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22" s="148" t="s">
        <v>197</v>
      </c>
      <c r="BB22" s="166">
        <v>45077</v>
      </c>
      <c r="BC22" s="148" t="s">
        <v>229</v>
      </c>
      <c r="BD22" s="146" t="s">
        <v>383</v>
      </c>
      <c r="BE22" s="146" t="s">
        <v>384</v>
      </c>
      <c r="BF22" s="45"/>
      <c r="BG22" s="45"/>
      <c r="BH22" s="45"/>
      <c r="BI22" s="45"/>
      <c r="BJ22" s="45"/>
      <c r="BK22" s="45"/>
      <c r="BL22" s="45"/>
      <c r="BM22" s="45"/>
      <c r="BN22" s="45"/>
      <c r="BO22" s="45"/>
      <c r="BP22" s="45"/>
      <c r="BQ22" s="45"/>
      <c r="BR22" s="45"/>
      <c r="BS22" s="45"/>
      <c r="BT22" s="45"/>
      <c r="BU22" s="45"/>
      <c r="BV22" s="45"/>
      <c r="BW22" s="45"/>
      <c r="BX22" s="45"/>
    </row>
    <row r="23" spans="1:76" s="67" customFormat="1" ht="207.75" customHeight="1" x14ac:dyDescent="0.2">
      <c r="A23" s="76">
        <v>14</v>
      </c>
      <c r="B23" s="74" t="s">
        <v>59</v>
      </c>
      <c r="C23" s="74" t="s">
        <v>305</v>
      </c>
      <c r="D23" s="100" t="s">
        <v>277</v>
      </c>
      <c r="E23" s="100" t="s">
        <v>385</v>
      </c>
      <c r="F23" s="75" t="s">
        <v>386</v>
      </c>
      <c r="G23" s="74" t="s">
        <v>174</v>
      </c>
      <c r="H23" s="75" t="s">
        <v>277</v>
      </c>
      <c r="I23" s="75" t="s">
        <v>381</v>
      </c>
      <c r="J23" s="115" t="s">
        <v>336</v>
      </c>
      <c r="K23" s="100" t="s">
        <v>320</v>
      </c>
      <c r="L23" s="75" t="s">
        <v>321</v>
      </c>
      <c r="M23" s="116" t="s">
        <v>195</v>
      </c>
      <c r="N23" s="75" t="s">
        <v>387</v>
      </c>
      <c r="O23" s="116" t="s">
        <v>149</v>
      </c>
      <c r="P23" s="100" t="s">
        <v>339</v>
      </c>
      <c r="Q23" s="76" t="s">
        <v>195</v>
      </c>
      <c r="R23" s="76" t="s">
        <v>325</v>
      </c>
      <c r="S23" s="100" t="s">
        <v>388</v>
      </c>
      <c r="T23" s="100" t="s">
        <v>388</v>
      </c>
      <c r="U23" s="77" t="s">
        <v>328</v>
      </c>
      <c r="V23" s="77" t="s">
        <v>328</v>
      </c>
      <c r="W23" s="77" t="s">
        <v>328</v>
      </c>
      <c r="X23" s="77" t="s">
        <v>329</v>
      </c>
      <c r="Y23" s="77" t="s">
        <v>329</v>
      </c>
      <c r="Z23" s="77" t="s">
        <v>329</v>
      </c>
      <c r="AA23" s="77" t="s">
        <v>195</v>
      </c>
      <c r="AB23" s="77" t="s">
        <v>195</v>
      </c>
      <c r="AC23" s="138" t="s">
        <v>195</v>
      </c>
      <c r="AD23" s="142" t="s">
        <v>206</v>
      </c>
      <c r="AE23" s="142" t="s">
        <v>134</v>
      </c>
      <c r="AF23" s="136" t="s">
        <v>92</v>
      </c>
      <c r="AG23" s="77" t="s">
        <v>102</v>
      </c>
      <c r="AH23" s="136" t="str">
        <f t="shared" si="10"/>
        <v>MEDIO</v>
      </c>
      <c r="AI23" s="78" t="s">
        <v>114</v>
      </c>
      <c r="AJ23" s="77" t="s">
        <v>117</v>
      </c>
      <c r="AK23" s="136" t="s">
        <v>92</v>
      </c>
      <c r="AL23" s="80" t="str">
        <f>VLOOKUP($AD23,[2]Tipologías!$B$3:$G$17,2,FALSE)</f>
        <v>ALTO</v>
      </c>
      <c r="AM23" s="80">
        <f t="shared" si="2"/>
        <v>3</v>
      </c>
      <c r="AN23" s="80" t="str">
        <f>VLOOKUP($AE23,[2]Tipologías!$A$21:$C$24,3,FALSE)</f>
        <v>ALTO</v>
      </c>
      <c r="AO23" s="80">
        <f t="shared" si="3"/>
        <v>3</v>
      </c>
      <c r="AP23" s="80">
        <f>VLOOKUP($AI23,[2]Tipologías!$A$38:$B$42,2,FALSE)</f>
        <v>1.5</v>
      </c>
      <c r="AQ23" s="80">
        <f>VLOOKUP($AJ23,[2]Tipologías!$A$46:$B$53,2,FALSE)</f>
        <v>2.5</v>
      </c>
      <c r="AR23" s="80" t="str">
        <f>IF(MAX(AM23,AO23)=3,"ALTO",IF(MAX(AM23,AO23)=2,"MEDIO",IF(MAX(AM23,AO23)=1,"BAJO","  ")))</f>
        <v>ALTO</v>
      </c>
      <c r="AS23" s="80" t="str">
        <f>VLOOKUP($AG23,[2]Tipologías!$A$29:$C$33,3,FALSE)</f>
        <v>MEDIO</v>
      </c>
      <c r="AT23" s="80" t="str">
        <f>IF(SUM($AP23,$AQ23)&gt;=3,"ALTO",IF(SUM($AP23,$AQ23)&lt;2,"BAJO","MEDIO"))</f>
        <v>ALTO</v>
      </c>
      <c r="AU23" s="80" t="str">
        <f>_xlfn.IFNA(IF(AND(AR23="BAJO",AS23="BAJO",AT23="BAJO"),"BAJO",IF(AND(AR23="ALTO",AS23="ALTO",AT23="ALTO"),"ALTO",IF(COUNTIF(AR23:AT23,"ALTO")=2,"ALTO","MEDIO")))," ")</f>
        <v>ALTO</v>
      </c>
      <c r="AV23" s="80" t="str">
        <f>_xlfn.IFNA(VLOOKUP(AD23,[2]Tipologías!$B$3:$G$17,4,0),"")</f>
        <v>INFORMACIÓN PÚBLICA CLASIFICADA</v>
      </c>
      <c r="AW23" s="80" t="str">
        <f>IF(AV23="INFORMACIÓN PÚBLICA","IPB",IF(AV23="INFORMACIÓN PÚBLICA CLASIFICADA","IPC",IF(AV23="INFORMACIÓN PÚBLICA RESERVADA","IPR",IF(AV23="",""))))</f>
        <v>IPC</v>
      </c>
      <c r="AX23" s="80" t="str">
        <f>_xlfn.IFNA(VLOOKUP(AD23,[2]Tipologías!$B$3:$G$17,3,0),"")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23" s="80" t="str">
        <f>_xlfn.IFNA(VLOOKUP(AD23,[2]Tipologías!$B$3:$G$17,5,0),"")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23" s="80" t="str">
        <f>_xlfn.IFNA(VLOOKUP(AD23,[2]Tipologías!$B$3:$G$17,6,0),"")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23" s="148" t="s">
        <v>197</v>
      </c>
      <c r="BB23" s="166">
        <v>45077</v>
      </c>
      <c r="BC23" s="148" t="s">
        <v>224</v>
      </c>
      <c r="BD23" s="146" t="s">
        <v>383</v>
      </c>
      <c r="BE23" s="146" t="s">
        <v>384</v>
      </c>
      <c r="BF23" s="45"/>
      <c r="BG23" s="45"/>
      <c r="BH23" s="45"/>
      <c r="BI23" s="45"/>
      <c r="BJ23" s="45"/>
      <c r="BK23" s="45"/>
      <c r="BL23" s="45"/>
      <c r="BM23" s="45"/>
      <c r="BN23" s="45"/>
      <c r="BO23" s="45"/>
      <c r="BP23" s="45"/>
      <c r="BQ23" s="45"/>
      <c r="BR23" s="45"/>
      <c r="BS23" s="45"/>
      <c r="BT23" s="45"/>
      <c r="BU23" s="45"/>
      <c r="BV23" s="45"/>
      <c r="BW23" s="45"/>
      <c r="BX23" s="45"/>
    </row>
    <row r="24" spans="1:76" s="68" customFormat="1" ht="207.75" customHeight="1" x14ac:dyDescent="0.2">
      <c r="A24" s="76">
        <v>15</v>
      </c>
      <c r="B24" s="74" t="s">
        <v>59</v>
      </c>
      <c r="C24" s="74" t="s">
        <v>305</v>
      </c>
      <c r="D24" s="100" t="s">
        <v>277</v>
      </c>
      <c r="E24" s="100" t="s">
        <v>389</v>
      </c>
      <c r="F24" s="75" t="s">
        <v>390</v>
      </c>
      <c r="G24" s="74" t="s">
        <v>174</v>
      </c>
      <c r="H24" s="75" t="s">
        <v>391</v>
      </c>
      <c r="I24" s="75" t="s">
        <v>392</v>
      </c>
      <c r="J24" s="107" t="s">
        <v>336</v>
      </c>
      <c r="K24" s="100" t="s">
        <v>320</v>
      </c>
      <c r="L24" s="75" t="s">
        <v>362</v>
      </c>
      <c r="M24" s="116" t="s">
        <v>195</v>
      </c>
      <c r="N24" s="75" t="s">
        <v>393</v>
      </c>
      <c r="O24" s="116" t="s">
        <v>149</v>
      </c>
      <c r="P24" s="100" t="s">
        <v>394</v>
      </c>
      <c r="Q24" s="76" t="s">
        <v>195</v>
      </c>
      <c r="R24" s="76" t="s">
        <v>325</v>
      </c>
      <c r="S24" s="100" t="s">
        <v>388</v>
      </c>
      <c r="T24" s="100" t="s">
        <v>388</v>
      </c>
      <c r="U24" s="77" t="s">
        <v>328</v>
      </c>
      <c r="V24" s="77" t="s">
        <v>328</v>
      </c>
      <c r="W24" s="77" t="s">
        <v>328</v>
      </c>
      <c r="X24" s="77" t="s">
        <v>328</v>
      </c>
      <c r="Y24" s="77" t="s">
        <v>328</v>
      </c>
      <c r="Z24" s="77" t="s">
        <v>329</v>
      </c>
      <c r="AA24" s="77" t="s">
        <v>195</v>
      </c>
      <c r="AB24" s="77" t="s">
        <v>195</v>
      </c>
      <c r="AC24" s="138" t="s">
        <v>195</v>
      </c>
      <c r="AD24" s="142" t="s">
        <v>89</v>
      </c>
      <c r="AE24" s="142" t="s">
        <v>130</v>
      </c>
      <c r="AF24" s="136" t="s">
        <v>90</v>
      </c>
      <c r="AG24" s="77" t="s">
        <v>101</v>
      </c>
      <c r="AH24" s="136" t="str">
        <f t="shared" si="10"/>
        <v>BAJO</v>
      </c>
      <c r="AI24" s="78" t="s">
        <v>114</v>
      </c>
      <c r="AJ24" s="77" t="s">
        <v>117</v>
      </c>
      <c r="AK24" s="136" t="s">
        <v>92</v>
      </c>
      <c r="AL24" s="80" t="str">
        <f>VLOOKUP($AD24,[2]Tipologías!$B$3:$G$17,2,FALSE)</f>
        <v>BAJO</v>
      </c>
      <c r="AM24" s="80">
        <f t="shared" si="2"/>
        <v>1</v>
      </c>
      <c r="AN24" s="80" t="str">
        <f>VLOOKUP($AE24,[2]Tipologías!$A$21:$C$24,3,FALSE)</f>
        <v>BAJO</v>
      </c>
      <c r="AO24" s="80">
        <f t="shared" si="3"/>
        <v>1</v>
      </c>
      <c r="AP24" s="80">
        <f>VLOOKUP($AI24,[2]Tipologías!$A$38:$B$42,2,FALSE)</f>
        <v>1.5</v>
      </c>
      <c r="AQ24" s="80">
        <f>VLOOKUP($AJ24,[2]Tipologías!$A$46:$B$53,2,FALSE)</f>
        <v>2.5</v>
      </c>
      <c r="AR24" s="80" t="str">
        <f t="shared" ref="AR24:AR25" si="11">IF(MAX(AM24,AO24)=3,"ALTO",IF(MAX(AM24,AO24)=2,"MEDIO",IF(MAX(AM24,AO24)=1,"BAJO","  ")))</f>
        <v>BAJO</v>
      </c>
      <c r="AS24" s="80" t="str">
        <f>VLOOKUP($AG24,[2]Tipologías!$A$29:$C$33,3,FALSE)</f>
        <v>BAJO</v>
      </c>
      <c r="AT24" s="80" t="str">
        <f t="shared" ref="AT24:AT25" si="12">IF(SUM($AP24,$AQ24)&gt;=3,"ALTO",IF(SUM($AP24,$AQ24)&lt;2,"BAJO","MEDIO"))</f>
        <v>ALTO</v>
      </c>
      <c r="AU24" s="80" t="str">
        <f t="shared" ref="AU24:AU25" si="13">_xlfn.IFNA(IF(AND(AR24="BAJO",AS24="BAJO",AT24="BAJO"),"BAJO",IF(AND(AR24="ALTO",AS24="ALTO",AT24="ALTO"),"ALTO",IF(COUNTIF(AR24:AT24,"ALTO")=2,"ALTO","MEDIO")))," ")</f>
        <v>MEDIO</v>
      </c>
      <c r="AV24" s="80" t="str">
        <f>_xlfn.IFNA(VLOOKUP(AD24,[2]Tipologías!$B$3:$G$17,4,0),"")</f>
        <v>INFORMACIÓN PÚBLICA</v>
      </c>
      <c r="AW24" s="80" t="str">
        <f t="shared" ref="AW24:AW25" si="14">IF(AV24="INFORMACIÓN PÚBLICA","IPB",IF(AV24="INFORMACIÓN PÚBLICA CLASIFICADA","IPC",IF(AV24="INFORMACIÓN PÚBLICA RESERVADA","IPR",IF(AV24="",""))))</f>
        <v>IPB</v>
      </c>
      <c r="AX24" s="80" t="str">
        <f>_xlfn.IFNA(VLOOKUP(AD24,[2]Tipologías!$B$3:$G$17,3,0),"")</f>
        <v>LEY 1712 DE 2014 LEY DE TRANSPARENCIA Y DERECHO DE ACCESO A LA INFORMACIÓN. ARTÍCULO 6 DEFINICIONES LITERAL B.</v>
      </c>
      <c r="AY24" s="80" t="str">
        <f>_xlfn.IFNA(VLOOKUP(AD24,[2]Tipologías!$B$3:$G$17,5,0),"")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24" s="80" t="str">
        <f>_xlfn.IFNA(VLOOKUP(AD24,[2]Tipologías!$B$3:$G$17,6,0),"")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24" s="148" t="s">
        <v>197</v>
      </c>
      <c r="BB24" s="166">
        <v>45077</v>
      </c>
      <c r="BC24" s="148" t="s">
        <v>224</v>
      </c>
      <c r="BD24" s="146" t="s">
        <v>383</v>
      </c>
      <c r="BE24" s="146" t="s">
        <v>384</v>
      </c>
      <c r="BF24" s="45"/>
      <c r="BG24" s="45"/>
      <c r="BH24" s="45"/>
      <c r="BI24" s="45"/>
      <c r="BJ24" s="45"/>
      <c r="BK24" s="45"/>
      <c r="BL24" s="45"/>
      <c r="BM24" s="45"/>
      <c r="BN24" s="45"/>
      <c r="BO24" s="45"/>
      <c r="BP24" s="45"/>
      <c r="BQ24" s="45"/>
      <c r="BR24" s="45"/>
      <c r="BS24" s="45"/>
      <c r="BT24" s="45"/>
      <c r="BU24" s="45"/>
      <c r="BV24" s="45"/>
      <c r="BW24" s="45"/>
      <c r="BX24" s="45"/>
    </row>
    <row r="25" spans="1:76" s="67" customFormat="1" ht="207.75" customHeight="1" x14ac:dyDescent="0.2">
      <c r="A25" s="76">
        <v>16</v>
      </c>
      <c r="B25" s="74" t="s">
        <v>59</v>
      </c>
      <c r="C25" s="74" t="s">
        <v>305</v>
      </c>
      <c r="D25" s="100" t="s">
        <v>277</v>
      </c>
      <c r="E25" s="100" t="s">
        <v>395</v>
      </c>
      <c r="F25" s="75" t="s">
        <v>396</v>
      </c>
      <c r="G25" s="74" t="s">
        <v>139</v>
      </c>
      <c r="H25" s="75" t="s">
        <v>277</v>
      </c>
      <c r="I25" s="75" t="s">
        <v>277</v>
      </c>
      <c r="J25" s="107" t="s">
        <v>397</v>
      </c>
      <c r="K25" s="100" t="s">
        <v>320</v>
      </c>
      <c r="L25" s="75" t="s">
        <v>321</v>
      </c>
      <c r="M25" s="75" t="s">
        <v>398</v>
      </c>
      <c r="N25" s="75" t="s">
        <v>195</v>
      </c>
      <c r="O25" s="116" t="s">
        <v>151</v>
      </c>
      <c r="P25" s="100" t="s">
        <v>195</v>
      </c>
      <c r="Q25" s="76" t="s">
        <v>195</v>
      </c>
      <c r="R25" s="76" t="s">
        <v>325</v>
      </c>
      <c r="S25" s="100" t="s">
        <v>195</v>
      </c>
      <c r="T25" s="100" t="s">
        <v>195</v>
      </c>
      <c r="U25" s="77" t="s">
        <v>328</v>
      </c>
      <c r="V25" s="77" t="s">
        <v>328</v>
      </c>
      <c r="W25" s="77" t="s">
        <v>328</v>
      </c>
      <c r="X25" s="77" t="s">
        <v>329</v>
      </c>
      <c r="Y25" s="77" t="s">
        <v>329</v>
      </c>
      <c r="Z25" s="77" t="s">
        <v>329</v>
      </c>
      <c r="AA25" s="77" t="s">
        <v>195</v>
      </c>
      <c r="AB25" s="77" t="s">
        <v>195</v>
      </c>
      <c r="AC25" s="138" t="s">
        <v>195</v>
      </c>
      <c r="AD25" s="142" t="s">
        <v>216</v>
      </c>
      <c r="AE25" s="142" t="s">
        <v>134</v>
      </c>
      <c r="AF25" s="136" t="s">
        <v>92</v>
      </c>
      <c r="AG25" s="77" t="s">
        <v>101</v>
      </c>
      <c r="AH25" s="136" t="str">
        <f t="shared" si="10"/>
        <v>BAJO</v>
      </c>
      <c r="AI25" s="78" t="s">
        <v>114</v>
      </c>
      <c r="AJ25" s="77" t="s">
        <v>122</v>
      </c>
      <c r="AK25" s="136" t="s">
        <v>103</v>
      </c>
      <c r="AL25" s="80" t="str">
        <f>VLOOKUP($AD25,[2]Tipologías!$B$3:$G$17,2,FALSE)</f>
        <v>ALTO</v>
      </c>
      <c r="AM25" s="80">
        <f t="shared" si="2"/>
        <v>3</v>
      </c>
      <c r="AN25" s="80" t="str">
        <f>VLOOKUP($AE25,[2]Tipologías!$A$21:$C$24,3,FALSE)</f>
        <v>ALTO</v>
      </c>
      <c r="AO25" s="80">
        <f t="shared" si="3"/>
        <v>3</v>
      </c>
      <c r="AP25" s="80">
        <f>VLOOKUP($AI25,[2]Tipologías!$A$38:$B$42,2,FALSE)</f>
        <v>1.5</v>
      </c>
      <c r="AQ25" s="80">
        <f>VLOOKUP($AJ25,[2]Tipologías!$A$46:$B$53,2,FALSE)</f>
        <v>1</v>
      </c>
      <c r="AR25" s="80" t="str">
        <f t="shared" si="11"/>
        <v>ALTO</v>
      </c>
      <c r="AS25" s="80" t="str">
        <f>VLOOKUP($AG25,[2]Tipologías!$A$29:$C$33,3,FALSE)</f>
        <v>BAJO</v>
      </c>
      <c r="AT25" s="80" t="str">
        <f t="shared" si="12"/>
        <v>MEDIO</v>
      </c>
      <c r="AU25" s="80" t="str">
        <f t="shared" si="13"/>
        <v>MEDIO</v>
      </c>
      <c r="AV25" s="80" t="str">
        <f>_xlfn.IFNA(VLOOKUP(AD25,[2]Tipologías!$B$3:$G$17,4,0),"")</f>
        <v>INFORMACIÓN PÚBLICA RESERVADA</v>
      </c>
      <c r="AW25" s="80" t="str">
        <f t="shared" si="14"/>
        <v>IPR</v>
      </c>
      <c r="AX25" s="80" t="str">
        <f>_xlfn.IFNA(VLOOKUP(AD25,[2]Tipologías!$B$3:$G$17,3,0),"")</f>
        <v>LEY 1712   DE 2014 ARTÍCULO 19 LITERAL H "LA ESTABILIDAD MACROECONÓMICA Y FINANCIERA DEL PAÍS."</v>
      </c>
      <c r="AY25" s="80" t="str">
        <f>_xlfn.IFNA(VLOOKUP(AD25,[2]Tipologías!$B$3:$G$17,5,0),"")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25" s="80" t="str">
        <f>_xlfn.IFNA(VLOOKUP(AD25,[2]Tipologías!$B$3:$G$17,6,0),"")</f>
        <v xml:space="preserve">LEY 1712 DE 2014 ARTÍCULO 19  </v>
      </c>
      <c r="BA25" s="148" t="s">
        <v>196</v>
      </c>
      <c r="BB25" s="166">
        <v>45077</v>
      </c>
      <c r="BC25" s="148" t="s">
        <v>201</v>
      </c>
      <c r="BD25" s="146" t="s">
        <v>383</v>
      </c>
      <c r="BE25" s="146" t="s">
        <v>384</v>
      </c>
      <c r="BF25" s="45"/>
      <c r="BG25" s="45"/>
      <c r="BH25" s="45"/>
      <c r="BI25" s="45"/>
      <c r="BJ25" s="45"/>
      <c r="BK25" s="45"/>
      <c r="BL25" s="45"/>
      <c r="BM25" s="45"/>
      <c r="BN25" s="45"/>
      <c r="BO25" s="45"/>
      <c r="BP25" s="45"/>
      <c r="BQ25" s="45"/>
      <c r="BR25" s="45"/>
      <c r="BS25" s="45"/>
      <c r="BT25" s="45"/>
      <c r="BU25" s="45"/>
      <c r="BV25" s="45"/>
      <c r="BW25" s="45"/>
      <c r="BX25" s="45"/>
    </row>
    <row r="26" spans="1:76" s="67" customFormat="1" ht="207.75" customHeight="1" x14ac:dyDescent="0.2">
      <c r="A26" s="76">
        <v>17</v>
      </c>
      <c r="B26" s="74" t="s">
        <v>59</v>
      </c>
      <c r="C26" s="74" t="s">
        <v>302</v>
      </c>
      <c r="D26" s="100" t="s">
        <v>272</v>
      </c>
      <c r="E26" s="109" t="s">
        <v>399</v>
      </c>
      <c r="F26" s="100" t="s">
        <v>400</v>
      </c>
      <c r="G26" s="74" t="s">
        <v>205</v>
      </c>
      <c r="H26" s="100" t="s">
        <v>401</v>
      </c>
      <c r="I26" s="100" t="s">
        <v>402</v>
      </c>
      <c r="J26" s="107" t="s">
        <v>319</v>
      </c>
      <c r="K26" s="100" t="s">
        <v>320</v>
      </c>
      <c r="L26" s="111" t="s">
        <v>321</v>
      </c>
      <c r="M26" s="100" t="s">
        <v>403</v>
      </c>
      <c r="N26" s="100" t="s">
        <v>404</v>
      </c>
      <c r="O26" s="100" t="s">
        <v>144</v>
      </c>
      <c r="P26" s="100" t="s">
        <v>405</v>
      </c>
      <c r="Q26" s="76" t="s">
        <v>325</v>
      </c>
      <c r="R26" s="76" t="s">
        <v>325</v>
      </c>
      <c r="S26" s="109" t="s">
        <v>406</v>
      </c>
      <c r="T26" s="109" t="s">
        <v>407</v>
      </c>
      <c r="U26" s="77" t="s">
        <v>328</v>
      </c>
      <c r="V26" s="77" t="s">
        <v>328</v>
      </c>
      <c r="W26" s="77" t="s">
        <v>328</v>
      </c>
      <c r="X26" s="77" t="s">
        <v>328</v>
      </c>
      <c r="Y26" s="77" t="s">
        <v>328</v>
      </c>
      <c r="Z26" s="77" t="s">
        <v>328</v>
      </c>
      <c r="AA26" s="77" t="s">
        <v>328</v>
      </c>
      <c r="AB26" s="77" t="s">
        <v>328</v>
      </c>
      <c r="AC26" s="138" t="s">
        <v>195</v>
      </c>
      <c r="AD26" s="142" t="s">
        <v>206</v>
      </c>
      <c r="AE26" s="142" t="s">
        <v>134</v>
      </c>
      <c r="AF26" s="112" t="str">
        <f>AR26</f>
        <v>ALTO</v>
      </c>
      <c r="AG26" s="77" t="s">
        <v>104</v>
      </c>
      <c r="AH26" s="136" t="str">
        <f t="shared" si="10"/>
        <v>ALTO</v>
      </c>
      <c r="AI26" s="78" t="s">
        <v>111</v>
      </c>
      <c r="AJ26" s="77" t="s">
        <v>121</v>
      </c>
      <c r="AK26" s="136" t="str">
        <f t="shared" ref="AK26:AK33" si="15">_xlfn.IFNA((AT26),"")</f>
        <v>BAJO</v>
      </c>
      <c r="AL26" s="80" t="str">
        <f>VLOOKUP($AD26,[3]Tipologías!$B$3:$G$17,2,FALSE)</f>
        <v>ALTO</v>
      </c>
      <c r="AM26" s="80">
        <f t="shared" si="2"/>
        <v>3</v>
      </c>
      <c r="AN26" s="80" t="str">
        <f>VLOOKUP($AE26,[3]Tipologías!$A$21:$C$24,3,FALSE)</f>
        <v>ALTO</v>
      </c>
      <c r="AO26" s="80">
        <f t="shared" si="3"/>
        <v>3</v>
      </c>
      <c r="AP26" s="80">
        <f>VLOOKUP($AI26,[3]Tipologías!$A$38:$B$42,2,FALSE)</f>
        <v>0.5</v>
      </c>
      <c r="AQ26" s="80">
        <f>VLOOKUP($AJ26,[3]Tipologías!$A$46:$B$53,2,FALSE)</f>
        <v>1.25</v>
      </c>
      <c r="AR26" s="80" t="str">
        <f>IF(MAX(AM26,AO26)=3,"ALTO",IF(MAX(AM26,AO26)=2,"MEDIO",IF(MAX(AM26,AO26)=1,"BAJO","  ")))</f>
        <v>ALTO</v>
      </c>
      <c r="AS26" s="80" t="str">
        <f>VLOOKUP($AG26,[3]Tipologías!$A$29:$C$33,3,FALSE)</f>
        <v>ALTO</v>
      </c>
      <c r="AT26" s="80" t="str">
        <f>IF(SUM($AP26,$AQ26)&gt;=3,"ALTO",IF(SUM($AP26,$AQ26)&lt;2,"BAJO","MEDIO"))</f>
        <v>BAJO</v>
      </c>
      <c r="AU26" s="80" t="str">
        <f>_xlfn.IFNA(IF(AND(AR26="BAJO",AS26="BAJO",AT26="BAJO"),"BAJO",IF(AND(AR26="ALTO",AS26="ALTO",AT26="ALTO"),"ALTO",IF(COUNTIF(AR26:AT26,"ALTO")=2,"ALTO","MEDIO")))," ")</f>
        <v>ALTO</v>
      </c>
      <c r="AV26" s="80" t="str">
        <f>_xlfn.IFNA(VLOOKUP(AD26,[3]Tipologías!$B$3:$G$17,4,0),"")</f>
        <v>INFORMACIÓN PÚBLICA CLASIFICADA</v>
      </c>
      <c r="AW26" s="80" t="str">
        <f>IF(AV26="INFORMACIÓN PÚBLICA","IPB",IF(AV26="INFORMACIÓN PÚBLICA CLASIFICADA","IPC",IF(AV26="INFORMACIÓN PÚBLICA RESERVADA","IPR",IF(AV26="",""))))</f>
        <v>IPC</v>
      </c>
      <c r="AX26" s="80" t="str">
        <f>_xlfn.IFNA(VLOOKUP(AD26,[3]Tipologías!$B$3:$G$17,3,0),"")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26" s="80" t="str">
        <f>_xlfn.IFNA(VLOOKUP(AD26,[3]Tipologías!$B$3:$G$17,5,0),"")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26" s="80" t="str">
        <f>_xlfn.IFNA(VLOOKUP(AD26,[3]Tipologías!$B$3:$G$17,6,0),"")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26" s="148" t="s">
        <v>197</v>
      </c>
      <c r="BB26" s="166">
        <v>45077</v>
      </c>
      <c r="BC26" s="148" t="s">
        <v>224</v>
      </c>
      <c r="BD26" s="146" t="s">
        <v>408</v>
      </c>
      <c r="BE26" s="146" t="s">
        <v>409</v>
      </c>
      <c r="BF26" s="45"/>
      <c r="BG26" s="45"/>
      <c r="BH26" s="45"/>
      <c r="BI26" s="45"/>
      <c r="BJ26" s="45"/>
      <c r="BK26" s="45"/>
      <c r="BL26" s="45"/>
      <c r="BM26" s="45"/>
      <c r="BN26" s="45"/>
      <c r="BO26" s="45"/>
      <c r="BP26" s="45"/>
      <c r="BQ26" s="45"/>
      <c r="BR26" s="45"/>
      <c r="BS26" s="45"/>
      <c r="BT26" s="45"/>
      <c r="BU26" s="45"/>
      <c r="BV26" s="45"/>
      <c r="BW26" s="45"/>
      <c r="BX26" s="45"/>
    </row>
    <row r="27" spans="1:76" s="67" customFormat="1" ht="207.75" customHeight="1" x14ac:dyDescent="0.2">
      <c r="A27" s="76">
        <v>18</v>
      </c>
      <c r="B27" s="74" t="s">
        <v>59</v>
      </c>
      <c r="C27" s="74" t="s">
        <v>302</v>
      </c>
      <c r="D27" s="100" t="s">
        <v>272</v>
      </c>
      <c r="E27" s="109" t="s">
        <v>410</v>
      </c>
      <c r="F27" s="109" t="s">
        <v>411</v>
      </c>
      <c r="G27" s="74" t="s">
        <v>205</v>
      </c>
      <c r="H27" s="100" t="s">
        <v>401</v>
      </c>
      <c r="I27" s="100" t="s">
        <v>402</v>
      </c>
      <c r="J27" s="107" t="s">
        <v>319</v>
      </c>
      <c r="K27" s="100" t="s">
        <v>320</v>
      </c>
      <c r="L27" s="111" t="s">
        <v>321</v>
      </c>
      <c r="M27" s="100" t="s">
        <v>412</v>
      </c>
      <c r="N27" s="100" t="s">
        <v>404</v>
      </c>
      <c r="O27" s="100" t="s">
        <v>150</v>
      </c>
      <c r="P27" s="109" t="s">
        <v>405</v>
      </c>
      <c r="Q27" s="113" t="s">
        <v>325</v>
      </c>
      <c r="R27" s="113" t="s">
        <v>325</v>
      </c>
      <c r="S27" s="109" t="s">
        <v>413</v>
      </c>
      <c r="T27" s="109" t="s">
        <v>414</v>
      </c>
      <c r="U27" s="108" t="s">
        <v>329</v>
      </c>
      <c r="V27" s="108" t="s">
        <v>195</v>
      </c>
      <c r="W27" s="108" t="s">
        <v>195</v>
      </c>
      <c r="X27" s="108" t="s">
        <v>195</v>
      </c>
      <c r="Y27" s="108" t="s">
        <v>195</v>
      </c>
      <c r="Z27" s="108" t="s">
        <v>195</v>
      </c>
      <c r="AA27" s="108" t="s">
        <v>195</v>
      </c>
      <c r="AB27" s="108" t="s">
        <v>195</v>
      </c>
      <c r="AC27" s="114" t="s">
        <v>195</v>
      </c>
      <c r="AD27" s="142" t="s">
        <v>89</v>
      </c>
      <c r="AE27" s="142" t="s">
        <v>134</v>
      </c>
      <c r="AF27" s="112" t="str">
        <f>AR27</f>
        <v>ALTO</v>
      </c>
      <c r="AG27" s="77" t="s">
        <v>101</v>
      </c>
      <c r="AH27" s="136" t="str">
        <f t="shared" si="10"/>
        <v>BAJO</v>
      </c>
      <c r="AI27" s="78" t="s">
        <v>111</v>
      </c>
      <c r="AJ27" s="77" t="s">
        <v>122</v>
      </c>
      <c r="AK27" s="136" t="str">
        <f t="shared" si="15"/>
        <v>BAJO</v>
      </c>
      <c r="AL27" s="80" t="str">
        <f>VLOOKUP($AD27,[3]Tipologías!$B$3:$G$17,2,FALSE)</f>
        <v>BAJO</v>
      </c>
      <c r="AM27" s="80">
        <f t="shared" si="2"/>
        <v>1</v>
      </c>
      <c r="AN27" s="80" t="str">
        <f>VLOOKUP($AE27,[3]Tipologías!$A$21:$C$24,3,FALSE)</f>
        <v>ALTO</v>
      </c>
      <c r="AO27" s="80">
        <f t="shared" si="3"/>
        <v>3</v>
      </c>
      <c r="AP27" s="80">
        <f>VLOOKUP($AI27,[3]Tipologías!$A$38:$B$42,2,FALSE)</f>
        <v>0.5</v>
      </c>
      <c r="AQ27" s="80">
        <f>VLOOKUP($AJ27,[3]Tipologías!$A$46:$B$53,2,FALSE)</f>
        <v>1</v>
      </c>
      <c r="AR27" s="80" t="str">
        <f t="shared" ref="AR27:AR33" si="16">IF(MAX(AM27,AO27)=3,"ALTO",IF(MAX(AM27,AO27)=2,"MEDIO",IF(MAX(AM27,AO27)=1,"BAJO","  ")))</f>
        <v>ALTO</v>
      </c>
      <c r="AS27" s="80" t="str">
        <f>VLOOKUP($AG27,[3]Tipologías!$A$29:$C$33,3,FALSE)</f>
        <v>BAJO</v>
      </c>
      <c r="AT27" s="80" t="str">
        <f t="shared" ref="AT27:AT33" si="17">IF(SUM($AP27,$AQ27)&gt;=3,"ALTO",IF(SUM($AP27,$AQ27)&lt;2,"BAJO","MEDIO"))</f>
        <v>BAJO</v>
      </c>
      <c r="AU27" s="80" t="str">
        <f t="shared" ref="AU27:AU33" si="18">_xlfn.IFNA(IF(AND(AR27="BAJO",AS27="BAJO",AT27="BAJO"),"BAJO",IF(AND(AR27="ALTO",AS27="ALTO",AT27="ALTO"),"ALTO",IF(COUNTIF(AR27:AT27,"ALTO")=2,"ALTO","MEDIO")))," ")</f>
        <v>MEDIO</v>
      </c>
      <c r="AV27" s="80" t="str">
        <f>_xlfn.IFNA(VLOOKUP(AD27,[3]Tipologías!$B$3:$G$17,4,0),"")</f>
        <v>INFORMACIÓN PÚBLICA</v>
      </c>
      <c r="AW27" s="80" t="str">
        <f t="shared" ref="AW27:AW33" si="19">IF(AV27="INFORMACIÓN PÚBLICA","IPB",IF(AV27="INFORMACIÓN PÚBLICA CLASIFICADA","IPC",IF(AV27="INFORMACIÓN PÚBLICA RESERVADA","IPR",IF(AV27="",""))))</f>
        <v>IPB</v>
      </c>
      <c r="AX27" s="80" t="str">
        <f>_xlfn.IFNA(VLOOKUP(AD27,[3]Tipologías!$B$3:$G$17,3,0),"")</f>
        <v>LEY 1712 DE 2014 LEY DE TRANSPARENCIA Y DERECHO DE ACCESO A LA INFORMACIÓN. ARTÍCULO 6 DEFINICIONES LITERAL B.</v>
      </c>
      <c r="AY27" s="80" t="str">
        <f>_xlfn.IFNA(VLOOKUP(AD27,[3]Tipologías!$B$3:$G$17,5,0),"")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27" s="80" t="str">
        <f>_xlfn.IFNA(VLOOKUP(AD27,[3]Tipologías!$B$3:$G$17,6,0),"")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27" s="148" t="s">
        <v>197</v>
      </c>
      <c r="BB27" s="166">
        <v>45077</v>
      </c>
      <c r="BC27" s="148" t="s">
        <v>201</v>
      </c>
      <c r="BD27" s="146" t="s">
        <v>408</v>
      </c>
      <c r="BE27" s="146" t="s">
        <v>409</v>
      </c>
      <c r="BF27" s="45"/>
      <c r="BG27" s="45"/>
      <c r="BH27" s="45"/>
      <c r="BI27" s="45"/>
      <c r="BJ27" s="45"/>
      <c r="BK27" s="45"/>
      <c r="BL27" s="45"/>
      <c r="BM27" s="45"/>
      <c r="BN27" s="45"/>
      <c r="BO27" s="45"/>
      <c r="BP27" s="45"/>
      <c r="BQ27" s="45"/>
      <c r="BR27" s="45"/>
      <c r="BS27" s="45"/>
      <c r="BT27" s="45"/>
      <c r="BU27" s="45"/>
      <c r="BV27" s="45"/>
      <c r="BW27" s="45"/>
      <c r="BX27" s="45"/>
    </row>
    <row r="28" spans="1:76" s="68" customFormat="1" ht="207.75" customHeight="1" x14ac:dyDescent="0.2">
      <c r="A28" s="76">
        <v>19</v>
      </c>
      <c r="B28" s="74" t="s">
        <v>59</v>
      </c>
      <c r="C28" s="74" t="s">
        <v>302</v>
      </c>
      <c r="D28" s="100" t="s">
        <v>272</v>
      </c>
      <c r="E28" s="109" t="s">
        <v>410</v>
      </c>
      <c r="F28" s="115" t="s">
        <v>415</v>
      </c>
      <c r="G28" s="74" t="s">
        <v>139</v>
      </c>
      <c r="H28" s="100" t="s">
        <v>401</v>
      </c>
      <c r="I28" s="109" t="s">
        <v>410</v>
      </c>
      <c r="J28" s="107" t="s">
        <v>397</v>
      </c>
      <c r="K28" s="100" t="s">
        <v>320</v>
      </c>
      <c r="L28" s="111" t="s">
        <v>321</v>
      </c>
      <c r="M28" s="100" t="s">
        <v>416</v>
      </c>
      <c r="N28" s="100" t="s">
        <v>417</v>
      </c>
      <c r="O28" s="100" t="s">
        <v>151</v>
      </c>
      <c r="P28" s="100" t="s">
        <v>195</v>
      </c>
      <c r="Q28" s="76" t="s">
        <v>325</v>
      </c>
      <c r="R28" s="76" t="s">
        <v>195</v>
      </c>
      <c r="S28" s="113" t="s">
        <v>195</v>
      </c>
      <c r="T28" s="113" t="s">
        <v>195</v>
      </c>
      <c r="U28" s="77" t="s">
        <v>329</v>
      </c>
      <c r="V28" s="77" t="s">
        <v>195</v>
      </c>
      <c r="W28" s="77" t="s">
        <v>195</v>
      </c>
      <c r="X28" s="77" t="s">
        <v>195</v>
      </c>
      <c r="Y28" s="77" t="s">
        <v>195</v>
      </c>
      <c r="Z28" s="77" t="s">
        <v>195</v>
      </c>
      <c r="AA28" s="77" t="s">
        <v>195</v>
      </c>
      <c r="AB28" s="77" t="s">
        <v>195</v>
      </c>
      <c r="AC28" s="138" t="s">
        <v>195</v>
      </c>
      <c r="AD28" s="142" t="s">
        <v>208</v>
      </c>
      <c r="AE28" s="142" t="s">
        <v>132</v>
      </c>
      <c r="AF28" s="136" t="str">
        <f t="shared" ref="AF28:AF29" si="20">AR28</f>
        <v>ALTO</v>
      </c>
      <c r="AG28" s="77" t="s">
        <v>104</v>
      </c>
      <c r="AH28" s="136" t="str">
        <f t="shared" ref="AH28:AH31" si="21">_xlfn.IFNA((AS28),"")</f>
        <v>ALTO</v>
      </c>
      <c r="AI28" s="78" t="s">
        <v>111</v>
      </c>
      <c r="AJ28" s="77" t="s">
        <v>120</v>
      </c>
      <c r="AK28" s="136" t="str">
        <f t="shared" si="15"/>
        <v>MEDIO</v>
      </c>
      <c r="AL28" s="80" t="str">
        <f>VLOOKUP($AD28,[3]Tipologías!$B$3:$G$17,2,FALSE)</f>
        <v>ALTO</v>
      </c>
      <c r="AM28" s="80">
        <f t="shared" si="2"/>
        <v>3</v>
      </c>
      <c r="AN28" s="80" t="str">
        <f>VLOOKUP($AE28,[3]Tipologías!$A$21:$C$24,3,FALSE)</f>
        <v>MEDIO</v>
      </c>
      <c r="AO28" s="80">
        <f t="shared" si="3"/>
        <v>2</v>
      </c>
      <c r="AP28" s="80">
        <f>VLOOKUP($AI28,[3]Tipologías!$A$38:$B$42,2,FALSE)</f>
        <v>0.5</v>
      </c>
      <c r="AQ28" s="80">
        <f>VLOOKUP($AJ28,[3]Tipologías!$A$46:$B$53,2,FALSE)</f>
        <v>1.5</v>
      </c>
      <c r="AR28" s="80" t="str">
        <f t="shared" si="16"/>
        <v>ALTO</v>
      </c>
      <c r="AS28" s="80" t="str">
        <f>VLOOKUP($AG28,[3]Tipologías!$A$29:$C$33,3,FALSE)</f>
        <v>ALTO</v>
      </c>
      <c r="AT28" s="80" t="str">
        <f t="shared" si="17"/>
        <v>MEDIO</v>
      </c>
      <c r="AU28" s="80" t="str">
        <f t="shared" si="18"/>
        <v>ALTO</v>
      </c>
      <c r="AV28" s="80" t="str">
        <f>_xlfn.IFNA(VLOOKUP(AD28,[3]Tipologías!$B$3:$G$17,4,0),"")</f>
        <v>INFORMACIÓN PÚBLICA CLASIFICADA</v>
      </c>
      <c r="AW28" s="80" t="str">
        <f t="shared" si="19"/>
        <v>IPC</v>
      </c>
      <c r="AX28" s="80" t="str">
        <f>_xlfn.IFNA(VLOOKUP(AD28,[3]Tipologías!$B$3:$G$17,3,0),"")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28" s="80" t="str">
        <f>_xlfn.IFNA(VLOOKUP(AD28,[3]Tipologías!$B$3:$G$17,5,0),"")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28" s="80" t="str">
        <f>_xlfn.IFNA(VLOOKUP(AD28,[3]Tipologías!$B$3:$G$17,6,0),"")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28" s="148" t="s">
        <v>197</v>
      </c>
      <c r="BB28" s="166">
        <v>45077</v>
      </c>
      <c r="BC28" s="148" t="s">
        <v>224</v>
      </c>
      <c r="BD28" s="146" t="s">
        <v>408</v>
      </c>
      <c r="BE28" s="146" t="s">
        <v>409</v>
      </c>
      <c r="BF28" s="45"/>
      <c r="BG28" s="45"/>
      <c r="BH28" s="45"/>
      <c r="BI28" s="45"/>
      <c r="BJ28" s="45"/>
      <c r="BK28" s="45"/>
      <c r="BL28" s="45"/>
      <c r="BM28" s="45"/>
      <c r="BN28" s="45"/>
      <c r="BO28" s="45"/>
      <c r="BP28" s="45"/>
      <c r="BQ28" s="45"/>
      <c r="BR28" s="45"/>
      <c r="BS28" s="45"/>
      <c r="BT28" s="45"/>
      <c r="BU28" s="45"/>
      <c r="BV28" s="45"/>
      <c r="BW28" s="45"/>
      <c r="BX28" s="45"/>
    </row>
    <row r="29" spans="1:76" s="67" customFormat="1" ht="207.75" customHeight="1" x14ac:dyDescent="0.2">
      <c r="A29" s="76">
        <v>20</v>
      </c>
      <c r="B29" s="74" t="s">
        <v>59</v>
      </c>
      <c r="C29" s="74" t="s">
        <v>302</v>
      </c>
      <c r="D29" s="100" t="s">
        <v>272</v>
      </c>
      <c r="E29" s="109" t="s">
        <v>410</v>
      </c>
      <c r="F29" s="115" t="s">
        <v>418</v>
      </c>
      <c r="G29" s="74" t="s">
        <v>140</v>
      </c>
      <c r="H29" s="100" t="s">
        <v>401</v>
      </c>
      <c r="I29" s="109" t="s">
        <v>410</v>
      </c>
      <c r="J29" s="107" t="s">
        <v>336</v>
      </c>
      <c r="K29" s="100" t="s">
        <v>320</v>
      </c>
      <c r="L29" s="111" t="s">
        <v>321</v>
      </c>
      <c r="M29" s="100" t="s">
        <v>195</v>
      </c>
      <c r="N29" s="100" t="s">
        <v>417</v>
      </c>
      <c r="O29" s="100" t="s">
        <v>151</v>
      </c>
      <c r="P29" s="109" t="s">
        <v>419</v>
      </c>
      <c r="Q29" s="76" t="s">
        <v>325</v>
      </c>
      <c r="R29" s="76" t="s">
        <v>195</v>
      </c>
      <c r="S29" s="109" t="s">
        <v>195</v>
      </c>
      <c r="T29" s="113" t="s">
        <v>195</v>
      </c>
      <c r="U29" s="108" t="s">
        <v>329</v>
      </c>
      <c r="V29" s="77" t="s">
        <v>195</v>
      </c>
      <c r="W29" s="77" t="s">
        <v>195</v>
      </c>
      <c r="X29" s="77" t="s">
        <v>195</v>
      </c>
      <c r="Y29" s="77" t="s">
        <v>195</v>
      </c>
      <c r="Z29" s="77" t="s">
        <v>195</v>
      </c>
      <c r="AA29" s="77" t="s">
        <v>195</v>
      </c>
      <c r="AB29" s="77" t="s">
        <v>195</v>
      </c>
      <c r="AC29" s="138" t="s">
        <v>195</v>
      </c>
      <c r="AD29" s="142" t="s">
        <v>208</v>
      </c>
      <c r="AE29" s="142" t="s">
        <v>132</v>
      </c>
      <c r="AF29" s="136" t="str">
        <f t="shared" si="20"/>
        <v>ALTO</v>
      </c>
      <c r="AG29" s="77" t="s">
        <v>104</v>
      </c>
      <c r="AH29" s="136" t="str">
        <f t="shared" si="21"/>
        <v>ALTO</v>
      </c>
      <c r="AI29" s="78" t="s">
        <v>111</v>
      </c>
      <c r="AJ29" s="77" t="s">
        <v>120</v>
      </c>
      <c r="AK29" s="136" t="str">
        <f t="shared" si="15"/>
        <v>MEDIO</v>
      </c>
      <c r="AL29" s="80" t="str">
        <f>VLOOKUP($AD29,[3]Tipologías!$B$3:$G$17,2,FALSE)</f>
        <v>ALTO</v>
      </c>
      <c r="AM29" s="80">
        <f t="shared" si="2"/>
        <v>3</v>
      </c>
      <c r="AN29" s="80" t="str">
        <f>VLOOKUP($AE29,[3]Tipologías!$A$21:$C$24,3,FALSE)</f>
        <v>MEDIO</v>
      </c>
      <c r="AO29" s="80">
        <f t="shared" si="3"/>
        <v>2</v>
      </c>
      <c r="AP29" s="80">
        <f>VLOOKUP($AI29,[3]Tipologías!$A$38:$B$42,2,FALSE)</f>
        <v>0.5</v>
      </c>
      <c r="AQ29" s="80">
        <f>VLOOKUP($AJ29,[3]Tipologías!$A$46:$B$53,2,FALSE)</f>
        <v>1.5</v>
      </c>
      <c r="AR29" s="80" t="str">
        <f t="shared" si="16"/>
        <v>ALTO</v>
      </c>
      <c r="AS29" s="80" t="str">
        <f>VLOOKUP($AG29,[3]Tipologías!$A$29:$C$33,3,FALSE)</f>
        <v>ALTO</v>
      </c>
      <c r="AT29" s="80" t="str">
        <f t="shared" si="17"/>
        <v>MEDIO</v>
      </c>
      <c r="AU29" s="80" t="str">
        <f t="shared" si="18"/>
        <v>ALTO</v>
      </c>
      <c r="AV29" s="80" t="str">
        <f>_xlfn.IFNA(VLOOKUP(AD29,[3]Tipologías!$B$3:$G$17,4,0),"")</f>
        <v>INFORMACIÓN PÚBLICA CLASIFICADA</v>
      </c>
      <c r="AW29" s="80" t="str">
        <f t="shared" si="19"/>
        <v>IPC</v>
      </c>
      <c r="AX29" s="80" t="str">
        <f>_xlfn.IFNA(VLOOKUP(AD29,[3]Tipologías!$B$3:$G$17,3,0),"")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29" s="80" t="str">
        <f>_xlfn.IFNA(VLOOKUP(AD29,[3]Tipologías!$B$3:$G$17,5,0),"")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29" s="80" t="str">
        <f>_xlfn.IFNA(VLOOKUP(AD29,[3]Tipologías!$B$3:$G$17,6,0),"")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29" s="148" t="s">
        <v>197</v>
      </c>
      <c r="BB29" s="166">
        <v>45077</v>
      </c>
      <c r="BC29" s="148" t="s">
        <v>224</v>
      </c>
      <c r="BD29" s="146" t="s">
        <v>408</v>
      </c>
      <c r="BE29" s="146" t="s">
        <v>409</v>
      </c>
      <c r="BF29" s="45"/>
      <c r="BG29" s="45"/>
      <c r="BH29" s="45"/>
      <c r="BI29" s="45"/>
      <c r="BJ29" s="45"/>
      <c r="BK29" s="45"/>
      <c r="BL29" s="45"/>
      <c r="BM29" s="45"/>
      <c r="BN29" s="45"/>
      <c r="BO29" s="45"/>
      <c r="BP29" s="45"/>
      <c r="BQ29" s="45"/>
      <c r="BR29" s="45"/>
      <c r="BS29" s="45"/>
      <c r="BT29" s="45"/>
      <c r="BU29" s="45"/>
      <c r="BV29" s="45"/>
      <c r="BW29" s="45"/>
      <c r="BX29" s="45"/>
    </row>
    <row r="30" spans="1:76" s="68" customFormat="1" ht="207.75" customHeight="1" x14ac:dyDescent="0.2">
      <c r="A30" s="76">
        <v>21</v>
      </c>
      <c r="B30" s="74" t="s">
        <v>59</v>
      </c>
      <c r="C30" s="74" t="s">
        <v>302</v>
      </c>
      <c r="D30" s="100" t="s">
        <v>272</v>
      </c>
      <c r="E30" s="109" t="s">
        <v>410</v>
      </c>
      <c r="F30" s="111" t="s">
        <v>420</v>
      </c>
      <c r="G30" s="74" t="s">
        <v>141</v>
      </c>
      <c r="H30" s="100" t="s">
        <v>401</v>
      </c>
      <c r="I30" s="109" t="s">
        <v>410</v>
      </c>
      <c r="J30" s="107" t="s">
        <v>336</v>
      </c>
      <c r="K30" s="100" t="s">
        <v>320</v>
      </c>
      <c r="L30" s="111" t="s">
        <v>321</v>
      </c>
      <c r="M30" s="100" t="s">
        <v>416</v>
      </c>
      <c r="N30" s="100" t="s">
        <v>417</v>
      </c>
      <c r="O30" s="100" t="s">
        <v>144</v>
      </c>
      <c r="P30" s="109" t="s">
        <v>421</v>
      </c>
      <c r="Q30" s="76" t="s">
        <v>325</v>
      </c>
      <c r="R30" s="76" t="s">
        <v>325</v>
      </c>
      <c r="S30" s="109" t="s">
        <v>195</v>
      </c>
      <c r="T30" s="113" t="s">
        <v>195</v>
      </c>
      <c r="U30" s="108" t="s">
        <v>328</v>
      </c>
      <c r="V30" s="77" t="s">
        <v>328</v>
      </c>
      <c r="W30" s="77" t="s">
        <v>329</v>
      </c>
      <c r="X30" s="77" t="s">
        <v>329</v>
      </c>
      <c r="Y30" s="77" t="s">
        <v>329</v>
      </c>
      <c r="Z30" s="77" t="s">
        <v>329</v>
      </c>
      <c r="AA30" s="77" t="s">
        <v>329</v>
      </c>
      <c r="AB30" s="77" t="s">
        <v>195</v>
      </c>
      <c r="AC30" s="138" t="s">
        <v>195</v>
      </c>
      <c r="AD30" s="142" t="s">
        <v>89</v>
      </c>
      <c r="AE30" s="142" t="s">
        <v>130</v>
      </c>
      <c r="AF30" s="136" t="str">
        <f>AR30</f>
        <v>BAJO</v>
      </c>
      <c r="AG30" s="77" t="s">
        <v>102</v>
      </c>
      <c r="AH30" s="136" t="str">
        <f t="shared" si="21"/>
        <v>MEDIO</v>
      </c>
      <c r="AI30" s="78" t="s">
        <v>114</v>
      </c>
      <c r="AJ30" s="77" t="s">
        <v>119</v>
      </c>
      <c r="AK30" s="136" t="str">
        <f t="shared" si="15"/>
        <v>ALTO</v>
      </c>
      <c r="AL30" s="80" t="str">
        <f>VLOOKUP($AD30,[3]Tipologías!$B$3:$G$17,2,FALSE)</f>
        <v>BAJO</v>
      </c>
      <c r="AM30" s="80">
        <f t="shared" si="2"/>
        <v>1</v>
      </c>
      <c r="AN30" s="80" t="str">
        <f>VLOOKUP($AE30,[3]Tipologías!$A$21:$C$24,3,FALSE)</f>
        <v>BAJO</v>
      </c>
      <c r="AO30" s="80">
        <f t="shared" si="3"/>
        <v>1</v>
      </c>
      <c r="AP30" s="80">
        <f>VLOOKUP($AI30,[3]Tipologías!$A$38:$B$42,2,FALSE)</f>
        <v>1.5</v>
      </c>
      <c r="AQ30" s="80">
        <f>VLOOKUP($AJ30,[3]Tipologías!$A$46:$B$53,2,FALSE)</f>
        <v>2</v>
      </c>
      <c r="AR30" s="80" t="str">
        <f t="shared" si="16"/>
        <v>BAJO</v>
      </c>
      <c r="AS30" s="80" t="str">
        <f>VLOOKUP($AG30,[3]Tipologías!$A$29:$C$33,3,FALSE)</f>
        <v>MEDIO</v>
      </c>
      <c r="AT30" s="80" t="str">
        <f t="shared" si="17"/>
        <v>ALTO</v>
      </c>
      <c r="AU30" s="80" t="str">
        <f t="shared" si="18"/>
        <v>MEDIO</v>
      </c>
      <c r="AV30" s="80" t="str">
        <f>_xlfn.IFNA(VLOOKUP(AD30,[3]Tipologías!$B$3:$G$17,4,0),"")</f>
        <v>INFORMACIÓN PÚBLICA</v>
      </c>
      <c r="AW30" s="80" t="str">
        <f t="shared" si="19"/>
        <v>IPB</v>
      </c>
      <c r="AX30" s="80" t="str">
        <f>_xlfn.IFNA(VLOOKUP(AD30,[3]Tipologías!$B$3:$G$17,3,0),"")</f>
        <v>LEY 1712 DE 2014 LEY DE TRANSPARENCIA Y DERECHO DE ACCESO A LA INFORMACIÓN. ARTÍCULO 6 DEFINICIONES LITERAL B.</v>
      </c>
      <c r="AY30" s="80" t="str">
        <f>_xlfn.IFNA(VLOOKUP(AD30,[3]Tipologías!$B$3:$G$17,5,0),"")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0" s="80" t="str">
        <f>_xlfn.IFNA(VLOOKUP(AD30,[3]Tipologías!$B$3:$G$17,6,0),"")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0" s="148" t="s">
        <v>195</v>
      </c>
      <c r="BB30" s="166">
        <v>45077</v>
      </c>
      <c r="BC30" s="148" t="s">
        <v>195</v>
      </c>
      <c r="BD30" s="146" t="s">
        <v>408</v>
      </c>
      <c r="BE30" s="146" t="s">
        <v>409</v>
      </c>
      <c r="BF30" s="45"/>
      <c r="BG30" s="45"/>
      <c r="BH30" s="45"/>
      <c r="BI30" s="45"/>
      <c r="BJ30" s="45"/>
      <c r="BK30" s="45"/>
      <c r="BL30" s="45"/>
      <c r="BM30" s="45"/>
      <c r="BN30" s="45"/>
      <c r="BO30" s="45"/>
      <c r="BP30" s="45"/>
      <c r="BQ30" s="45"/>
      <c r="BR30" s="45"/>
      <c r="BS30" s="45"/>
      <c r="BT30" s="45"/>
      <c r="BU30" s="45"/>
      <c r="BV30" s="45"/>
      <c r="BW30" s="45"/>
      <c r="BX30" s="45"/>
    </row>
    <row r="31" spans="1:76" s="67" customFormat="1" ht="207.75" customHeight="1" x14ac:dyDescent="0.2">
      <c r="A31" s="76">
        <v>22</v>
      </c>
      <c r="B31" s="74" t="s">
        <v>59</v>
      </c>
      <c r="C31" s="74" t="s">
        <v>302</v>
      </c>
      <c r="D31" s="100" t="s">
        <v>272</v>
      </c>
      <c r="E31" s="109" t="s">
        <v>410</v>
      </c>
      <c r="F31" s="75" t="s">
        <v>422</v>
      </c>
      <c r="G31" s="74" t="s">
        <v>174</v>
      </c>
      <c r="H31" s="100" t="s">
        <v>401</v>
      </c>
      <c r="I31" s="109" t="s">
        <v>410</v>
      </c>
      <c r="J31" s="107" t="s">
        <v>336</v>
      </c>
      <c r="K31" s="100" t="s">
        <v>320</v>
      </c>
      <c r="L31" s="111" t="s">
        <v>321</v>
      </c>
      <c r="M31" s="100" t="s">
        <v>416</v>
      </c>
      <c r="N31" s="100" t="s">
        <v>417</v>
      </c>
      <c r="O31" s="100" t="s">
        <v>144</v>
      </c>
      <c r="P31" s="109" t="s">
        <v>419</v>
      </c>
      <c r="Q31" s="76" t="s">
        <v>325</v>
      </c>
      <c r="R31" s="76" t="s">
        <v>325</v>
      </c>
      <c r="S31" s="109" t="s">
        <v>195</v>
      </c>
      <c r="T31" s="113" t="s">
        <v>195</v>
      </c>
      <c r="U31" s="77" t="s">
        <v>328</v>
      </c>
      <c r="V31" s="77" t="s">
        <v>328</v>
      </c>
      <c r="W31" s="77" t="s">
        <v>328</v>
      </c>
      <c r="X31" s="77" t="s">
        <v>328</v>
      </c>
      <c r="Y31" s="77" t="s">
        <v>328</v>
      </c>
      <c r="Z31" s="77" t="s">
        <v>328</v>
      </c>
      <c r="AA31" s="77" t="s">
        <v>328</v>
      </c>
      <c r="AB31" s="77" t="s">
        <v>328</v>
      </c>
      <c r="AC31" s="138" t="s">
        <v>195</v>
      </c>
      <c r="AD31" s="142" t="s">
        <v>206</v>
      </c>
      <c r="AE31" s="142" t="s">
        <v>134</v>
      </c>
      <c r="AF31" s="136" t="str">
        <f t="shared" ref="AF31" si="22">AR31</f>
        <v>ALTO</v>
      </c>
      <c r="AG31" s="77" t="s">
        <v>102</v>
      </c>
      <c r="AH31" s="136" t="str">
        <f t="shared" si="21"/>
        <v>MEDIO</v>
      </c>
      <c r="AI31" s="78" t="s">
        <v>113</v>
      </c>
      <c r="AJ31" s="77" t="s">
        <v>124</v>
      </c>
      <c r="AK31" s="136" t="str">
        <f t="shared" si="15"/>
        <v>BAJO</v>
      </c>
      <c r="AL31" s="80" t="str">
        <f>VLOOKUP($AD31,[3]Tipologías!$B$3:$G$17,2,FALSE)</f>
        <v>ALTO</v>
      </c>
      <c r="AM31" s="80">
        <f t="shared" si="2"/>
        <v>3</v>
      </c>
      <c r="AN31" s="80" t="str">
        <f>VLOOKUP($AE31,[3]Tipologías!$A$21:$C$24,3,FALSE)</f>
        <v>ALTO</v>
      </c>
      <c r="AO31" s="80">
        <f t="shared" si="3"/>
        <v>3</v>
      </c>
      <c r="AP31" s="80">
        <f>VLOOKUP($AI31,[3]Tipologías!$A$38:$B$42,2,FALSE)</f>
        <v>1</v>
      </c>
      <c r="AQ31" s="80">
        <f>VLOOKUP($AJ31,[3]Tipologías!$A$46:$B$53,2,FALSE)</f>
        <v>0.25</v>
      </c>
      <c r="AR31" s="80" t="str">
        <f t="shared" si="16"/>
        <v>ALTO</v>
      </c>
      <c r="AS31" s="80" t="str">
        <f>VLOOKUP($AG31,[3]Tipologías!$A$29:$C$33,3,FALSE)</f>
        <v>MEDIO</v>
      </c>
      <c r="AT31" s="80" t="str">
        <f t="shared" si="17"/>
        <v>BAJO</v>
      </c>
      <c r="AU31" s="80" t="str">
        <f t="shared" si="18"/>
        <v>MEDIO</v>
      </c>
      <c r="AV31" s="80" t="str">
        <f>_xlfn.IFNA(VLOOKUP(AD31,[3]Tipologías!$B$3:$G$17,4,0),"")</f>
        <v>INFORMACIÓN PÚBLICA CLASIFICADA</v>
      </c>
      <c r="AW31" s="80" t="str">
        <f t="shared" si="19"/>
        <v>IPC</v>
      </c>
      <c r="AX31" s="80" t="str">
        <f>_xlfn.IFNA(VLOOKUP(AD31,[3]Tipologías!$B$3:$G$17,3,0),"")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31" s="80" t="str">
        <f>_xlfn.IFNA(VLOOKUP(AD31,[3]Tipologías!$B$3:$G$17,5,0),"")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31" s="80" t="str">
        <f>_xlfn.IFNA(VLOOKUP(AD31,[3]Tipologías!$B$3:$G$17,6,0),"")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31" s="148" t="s">
        <v>197</v>
      </c>
      <c r="BB31" s="166">
        <v>45077</v>
      </c>
      <c r="BC31" s="148" t="s">
        <v>201</v>
      </c>
      <c r="BD31" s="146" t="s">
        <v>408</v>
      </c>
      <c r="BE31" s="146" t="s">
        <v>409</v>
      </c>
      <c r="BF31" s="45"/>
      <c r="BG31" s="45"/>
      <c r="BH31" s="45"/>
      <c r="BI31" s="45"/>
      <c r="BJ31" s="45"/>
      <c r="BK31" s="45"/>
      <c r="BL31" s="45"/>
      <c r="BM31" s="45"/>
      <c r="BN31" s="45"/>
      <c r="BO31" s="45"/>
      <c r="BP31" s="45"/>
      <c r="BQ31" s="45"/>
      <c r="BR31" s="45"/>
      <c r="BS31" s="45"/>
      <c r="BT31" s="45"/>
      <c r="BU31" s="45"/>
      <c r="BV31" s="45"/>
      <c r="BW31" s="45"/>
      <c r="BX31" s="45"/>
    </row>
    <row r="32" spans="1:76" s="67" customFormat="1" ht="207.75" customHeight="1" x14ac:dyDescent="0.2">
      <c r="A32" s="76">
        <v>23</v>
      </c>
      <c r="B32" s="74" t="s">
        <v>59</v>
      </c>
      <c r="C32" s="74" t="s">
        <v>302</v>
      </c>
      <c r="D32" s="100" t="s">
        <v>272</v>
      </c>
      <c r="E32" s="109" t="s">
        <v>355</v>
      </c>
      <c r="F32" s="109" t="s">
        <v>423</v>
      </c>
      <c r="G32" s="74" t="s">
        <v>205</v>
      </c>
      <c r="H32" s="100" t="s">
        <v>401</v>
      </c>
      <c r="I32" s="100" t="s">
        <v>402</v>
      </c>
      <c r="J32" s="107" t="s">
        <v>319</v>
      </c>
      <c r="K32" s="100" t="s">
        <v>320</v>
      </c>
      <c r="L32" s="111" t="s">
        <v>321</v>
      </c>
      <c r="M32" s="100" t="s">
        <v>412</v>
      </c>
      <c r="N32" s="100" t="s">
        <v>404</v>
      </c>
      <c r="O32" s="100" t="s">
        <v>151</v>
      </c>
      <c r="P32" s="109" t="s">
        <v>424</v>
      </c>
      <c r="Q32" s="113" t="s">
        <v>325</v>
      </c>
      <c r="R32" s="113" t="s">
        <v>325</v>
      </c>
      <c r="S32" s="109" t="s">
        <v>355</v>
      </c>
      <c r="T32" s="109" t="s">
        <v>425</v>
      </c>
      <c r="U32" s="108" t="s">
        <v>328</v>
      </c>
      <c r="V32" s="108" t="s">
        <v>328</v>
      </c>
      <c r="W32" s="108" t="s">
        <v>195</v>
      </c>
      <c r="X32" s="108" t="s">
        <v>195</v>
      </c>
      <c r="Y32" s="108" t="s">
        <v>195</v>
      </c>
      <c r="Z32" s="108" t="s">
        <v>195</v>
      </c>
      <c r="AA32" s="108" t="s">
        <v>195</v>
      </c>
      <c r="AB32" s="108" t="s">
        <v>328</v>
      </c>
      <c r="AC32" s="114" t="s">
        <v>195</v>
      </c>
      <c r="AD32" s="142" t="s">
        <v>89</v>
      </c>
      <c r="AE32" s="110" t="s">
        <v>134</v>
      </c>
      <c r="AF32" s="112" t="str">
        <f>AR32</f>
        <v>ALTO</v>
      </c>
      <c r="AG32" s="77" t="s">
        <v>101</v>
      </c>
      <c r="AH32" s="136" t="str">
        <f t="shared" ref="AH32:AH42" si="23">_xlfn.IFNA((AS32),"")</f>
        <v>BAJO</v>
      </c>
      <c r="AI32" s="78" t="s">
        <v>113</v>
      </c>
      <c r="AJ32" s="77" t="s">
        <v>122</v>
      </c>
      <c r="AK32" s="136" t="str">
        <f t="shared" si="15"/>
        <v>MEDIO</v>
      </c>
      <c r="AL32" s="80" t="str">
        <f>VLOOKUP($AD32,[3]Tipologías!$B$3:$G$17,2,FALSE)</f>
        <v>BAJO</v>
      </c>
      <c r="AM32" s="80">
        <f t="shared" si="2"/>
        <v>1</v>
      </c>
      <c r="AN32" s="80" t="str">
        <f>VLOOKUP($AE32,[3]Tipologías!$A$21:$C$24,3,FALSE)</f>
        <v>ALTO</v>
      </c>
      <c r="AO32" s="80">
        <f t="shared" si="3"/>
        <v>3</v>
      </c>
      <c r="AP32" s="80">
        <f>VLOOKUP($AI32,[3]Tipologías!$A$38:$B$42,2,FALSE)</f>
        <v>1</v>
      </c>
      <c r="AQ32" s="80">
        <f>VLOOKUP($AJ32,[3]Tipologías!$A$46:$B$53,2,FALSE)</f>
        <v>1</v>
      </c>
      <c r="AR32" s="80" t="str">
        <f t="shared" si="16"/>
        <v>ALTO</v>
      </c>
      <c r="AS32" s="80" t="str">
        <f>VLOOKUP($AG32,[3]Tipologías!$A$29:$C$33,3,FALSE)</f>
        <v>BAJO</v>
      </c>
      <c r="AT32" s="80" t="str">
        <f t="shared" si="17"/>
        <v>MEDIO</v>
      </c>
      <c r="AU32" s="80" t="str">
        <f t="shared" si="18"/>
        <v>MEDIO</v>
      </c>
      <c r="AV32" s="80" t="str">
        <f>_xlfn.IFNA(VLOOKUP(AD32,[3]Tipologías!$B$3:$G$17,4,0),"")</f>
        <v>INFORMACIÓN PÚBLICA</v>
      </c>
      <c r="AW32" s="80" t="str">
        <f t="shared" si="19"/>
        <v>IPB</v>
      </c>
      <c r="AX32" s="80" t="str">
        <f>_xlfn.IFNA(VLOOKUP(AD32,[3]Tipologías!$B$3:$G$17,3,0),"")</f>
        <v>LEY 1712 DE 2014 LEY DE TRANSPARENCIA Y DERECHO DE ACCESO A LA INFORMACIÓN. ARTÍCULO 6 DEFINICIONES LITERAL B.</v>
      </c>
      <c r="AY32" s="80" t="str">
        <f>_xlfn.IFNA(VLOOKUP(AD32,[3]Tipologías!$B$3:$G$17,5,0),"")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2" s="80" t="str">
        <f>_xlfn.IFNA(VLOOKUP(AD32,[3]Tipologías!$B$3:$G$17,6,0),"")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2" s="148" t="s">
        <v>197</v>
      </c>
      <c r="BB32" s="166">
        <v>45077</v>
      </c>
      <c r="BC32" s="148" t="s">
        <v>201</v>
      </c>
      <c r="BD32" s="146" t="s">
        <v>408</v>
      </c>
      <c r="BE32" s="146" t="s">
        <v>409</v>
      </c>
      <c r="BF32" s="45"/>
      <c r="BG32" s="45"/>
      <c r="BH32" s="45"/>
      <c r="BI32" s="45"/>
      <c r="BJ32" s="45"/>
      <c r="BK32" s="45"/>
      <c r="BL32" s="45"/>
      <c r="BM32" s="45"/>
      <c r="BN32" s="45"/>
      <c r="BO32" s="45"/>
      <c r="BP32" s="45"/>
      <c r="BQ32" s="45"/>
      <c r="BR32" s="45"/>
      <c r="BS32" s="45"/>
      <c r="BT32" s="45"/>
      <c r="BU32" s="45"/>
      <c r="BV32" s="45"/>
      <c r="BW32" s="45"/>
      <c r="BX32" s="45"/>
    </row>
    <row r="33" spans="1:76" s="67" customFormat="1" ht="207.75" customHeight="1" x14ac:dyDescent="0.2">
      <c r="A33" s="76">
        <v>24</v>
      </c>
      <c r="B33" s="74" t="s">
        <v>59</v>
      </c>
      <c r="C33" s="74" t="s">
        <v>302</v>
      </c>
      <c r="D33" s="100" t="s">
        <v>272</v>
      </c>
      <c r="E33" s="109" t="s">
        <v>426</v>
      </c>
      <c r="F33" s="109" t="s">
        <v>427</v>
      </c>
      <c r="G33" s="74" t="s">
        <v>205</v>
      </c>
      <c r="H33" s="100" t="s">
        <v>401</v>
      </c>
      <c r="I33" s="109" t="s">
        <v>410</v>
      </c>
      <c r="J33" s="107" t="s">
        <v>336</v>
      </c>
      <c r="K33" s="100" t="s">
        <v>320</v>
      </c>
      <c r="L33" s="111" t="s">
        <v>321</v>
      </c>
      <c r="M33" s="100" t="s">
        <v>195</v>
      </c>
      <c r="N33" s="100" t="s">
        <v>428</v>
      </c>
      <c r="O33" s="100" t="s">
        <v>151</v>
      </c>
      <c r="P33" s="109" t="s">
        <v>429</v>
      </c>
      <c r="Q33" s="113" t="s">
        <v>325</v>
      </c>
      <c r="R33" s="113" t="s">
        <v>325</v>
      </c>
      <c r="S33" s="109" t="s">
        <v>195</v>
      </c>
      <c r="T33" s="109" t="s">
        <v>195</v>
      </c>
      <c r="U33" s="108" t="s">
        <v>329</v>
      </c>
      <c r="V33" s="108" t="s">
        <v>195</v>
      </c>
      <c r="W33" s="108" t="s">
        <v>195</v>
      </c>
      <c r="X33" s="108" t="s">
        <v>195</v>
      </c>
      <c r="Y33" s="108" t="s">
        <v>195</v>
      </c>
      <c r="Z33" s="108" t="s">
        <v>195</v>
      </c>
      <c r="AA33" s="108" t="s">
        <v>195</v>
      </c>
      <c r="AB33" s="108" t="s">
        <v>328</v>
      </c>
      <c r="AC33" s="114" t="s">
        <v>195</v>
      </c>
      <c r="AD33" s="142" t="s">
        <v>89</v>
      </c>
      <c r="AE33" s="110" t="s">
        <v>130</v>
      </c>
      <c r="AF33" s="112" t="str">
        <f>AR33</f>
        <v>BAJO</v>
      </c>
      <c r="AG33" s="77" t="s">
        <v>104</v>
      </c>
      <c r="AH33" s="136" t="str">
        <f t="shared" si="23"/>
        <v>ALTO</v>
      </c>
      <c r="AI33" s="78" t="s">
        <v>114</v>
      </c>
      <c r="AJ33" s="77" t="s">
        <v>119</v>
      </c>
      <c r="AK33" s="136" t="str">
        <f t="shared" si="15"/>
        <v>ALTO</v>
      </c>
      <c r="AL33" s="80" t="str">
        <f>VLOOKUP($AD33,[3]Tipologías!$B$3:$G$17,2,FALSE)</f>
        <v>BAJO</v>
      </c>
      <c r="AM33" s="80">
        <f t="shared" si="2"/>
        <v>1</v>
      </c>
      <c r="AN33" s="80" t="str">
        <f>VLOOKUP($AE33,[3]Tipologías!$A$21:$C$24,3,FALSE)</f>
        <v>BAJO</v>
      </c>
      <c r="AO33" s="80">
        <f t="shared" si="3"/>
        <v>1</v>
      </c>
      <c r="AP33" s="80">
        <f>VLOOKUP($AI33,[3]Tipologías!$A$38:$B$42,2,FALSE)</f>
        <v>1.5</v>
      </c>
      <c r="AQ33" s="80">
        <f>VLOOKUP($AJ33,[3]Tipologías!$A$46:$B$53,2,FALSE)</f>
        <v>2</v>
      </c>
      <c r="AR33" s="80" t="str">
        <f t="shared" si="16"/>
        <v>BAJO</v>
      </c>
      <c r="AS33" s="80" t="str">
        <f>VLOOKUP($AG33,[3]Tipologías!$A$29:$C$33,3,FALSE)</f>
        <v>ALTO</v>
      </c>
      <c r="AT33" s="80" t="str">
        <f t="shared" si="17"/>
        <v>ALTO</v>
      </c>
      <c r="AU33" s="80" t="str">
        <f t="shared" si="18"/>
        <v>ALTO</v>
      </c>
      <c r="AV33" s="80" t="str">
        <f>_xlfn.IFNA(VLOOKUP(AD33,[3]Tipologías!$B$3:$G$17,4,0),"")</f>
        <v>INFORMACIÓN PÚBLICA</v>
      </c>
      <c r="AW33" s="80" t="str">
        <f t="shared" si="19"/>
        <v>IPB</v>
      </c>
      <c r="AX33" s="80" t="str">
        <f>_xlfn.IFNA(VLOOKUP(AD33,[3]Tipologías!$B$3:$G$17,3,0),"")</f>
        <v>LEY 1712 DE 2014 LEY DE TRANSPARENCIA Y DERECHO DE ACCESO A LA INFORMACIÓN. ARTÍCULO 6 DEFINICIONES LITERAL B.</v>
      </c>
      <c r="AY33" s="80" t="str">
        <f>_xlfn.IFNA(VLOOKUP(AD33,[3]Tipologías!$B$3:$G$17,5,0),"")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3" s="80" t="str">
        <f>_xlfn.IFNA(VLOOKUP(AD33,[3]Tipologías!$B$3:$G$17,6,0),"")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3" s="148" t="s">
        <v>195</v>
      </c>
      <c r="BB33" s="166">
        <v>45077</v>
      </c>
      <c r="BC33" s="148" t="s">
        <v>195</v>
      </c>
      <c r="BD33" s="146" t="s">
        <v>408</v>
      </c>
      <c r="BE33" s="146" t="s">
        <v>409</v>
      </c>
      <c r="BF33" s="45"/>
      <c r="BG33" s="45"/>
      <c r="BH33" s="45"/>
      <c r="BI33" s="45"/>
      <c r="BJ33" s="45"/>
      <c r="BK33" s="45"/>
      <c r="BL33" s="45"/>
      <c r="BM33" s="45"/>
      <c r="BN33" s="45"/>
      <c r="BO33" s="45"/>
      <c r="BP33" s="45"/>
      <c r="BQ33" s="45"/>
      <c r="BR33" s="45"/>
      <c r="BS33" s="45"/>
      <c r="BT33" s="45"/>
      <c r="BU33" s="45"/>
      <c r="BV33" s="45"/>
      <c r="BW33" s="45"/>
      <c r="BX33" s="45"/>
    </row>
    <row r="34" spans="1:76" s="68" customFormat="1" ht="207.75" customHeight="1" x14ac:dyDescent="0.2">
      <c r="A34" s="76">
        <v>25</v>
      </c>
      <c r="B34" s="74" t="s">
        <v>55</v>
      </c>
      <c r="C34" s="74" t="s">
        <v>299</v>
      </c>
      <c r="D34" s="100" t="s">
        <v>68</v>
      </c>
      <c r="E34" s="100" t="s">
        <v>430</v>
      </c>
      <c r="F34" s="75" t="s">
        <v>431</v>
      </c>
      <c r="G34" s="74" t="s">
        <v>205</v>
      </c>
      <c r="H34" s="75" t="s">
        <v>432</v>
      </c>
      <c r="I34" s="75" t="s">
        <v>68</v>
      </c>
      <c r="J34" s="107" t="s">
        <v>336</v>
      </c>
      <c r="K34" s="100" t="s">
        <v>320</v>
      </c>
      <c r="L34" s="75" t="s">
        <v>362</v>
      </c>
      <c r="M34" s="116" t="s">
        <v>195</v>
      </c>
      <c r="N34" s="75" t="s">
        <v>433</v>
      </c>
      <c r="O34" s="116" t="s">
        <v>151</v>
      </c>
      <c r="P34" s="100" t="s">
        <v>434</v>
      </c>
      <c r="Q34" s="76" t="s">
        <v>325</v>
      </c>
      <c r="R34" s="76" t="s">
        <v>325</v>
      </c>
      <c r="S34" s="100" t="s">
        <v>195</v>
      </c>
      <c r="T34" s="100" t="s">
        <v>195</v>
      </c>
      <c r="U34" s="77" t="s">
        <v>328</v>
      </c>
      <c r="V34" s="77" t="s">
        <v>328</v>
      </c>
      <c r="W34" s="77" t="s">
        <v>329</v>
      </c>
      <c r="X34" s="77" t="s">
        <v>329</v>
      </c>
      <c r="Y34" s="77" t="s">
        <v>329</v>
      </c>
      <c r="Z34" s="77" t="s">
        <v>329</v>
      </c>
      <c r="AA34" s="77" t="s">
        <v>195</v>
      </c>
      <c r="AB34" s="77" t="s">
        <v>195</v>
      </c>
      <c r="AC34" s="138" t="s">
        <v>195</v>
      </c>
      <c r="AD34" s="142" t="s">
        <v>89</v>
      </c>
      <c r="AE34" s="142" t="s">
        <v>130</v>
      </c>
      <c r="AF34" s="136" t="str">
        <f>AR34</f>
        <v>BAJO</v>
      </c>
      <c r="AG34" s="77" t="s">
        <v>104</v>
      </c>
      <c r="AH34" s="136" t="str">
        <f t="shared" si="23"/>
        <v>ALTO</v>
      </c>
      <c r="AI34" s="78" t="s">
        <v>115</v>
      </c>
      <c r="AJ34" s="77" t="s">
        <v>117</v>
      </c>
      <c r="AK34" s="136" t="str">
        <f>_xlfn.IFNA((AT34),"")</f>
        <v>ALTO</v>
      </c>
      <c r="AL34" s="80" t="str">
        <f>VLOOKUP($AD34,[4]Tipologías!$B$3:$G$17,2,FALSE)</f>
        <v>BAJO</v>
      </c>
      <c r="AM34" s="80">
        <f t="shared" si="2"/>
        <v>1</v>
      </c>
      <c r="AN34" s="80" t="str">
        <f>VLOOKUP($AE34,[4]Tipologías!$A$21:$C$24,3,FALSE)</f>
        <v>BAJO</v>
      </c>
      <c r="AO34" s="80">
        <f t="shared" si="3"/>
        <v>1</v>
      </c>
      <c r="AP34" s="80">
        <f>VLOOKUP($AI34,[4]Tipologías!$A$38:$B$42,2,FALSE)</f>
        <v>2</v>
      </c>
      <c r="AQ34" s="80">
        <f>VLOOKUP($AJ34,[4]Tipologías!$A$46:$B$53,2,FALSE)</f>
        <v>2.5</v>
      </c>
      <c r="AR34" s="80" t="str">
        <f>IF(MAX(AM34,AO34)=3,"ALTO",IF(MAX(AM34,AO34)=2,"MEDIO",IF(MAX(AM34,AO34)=1,"BAJO","  ")))</f>
        <v>BAJO</v>
      </c>
      <c r="AS34" s="80" t="str">
        <f>VLOOKUP($AG34,[4]Tipologías!$A$29:$C$33,3,FALSE)</f>
        <v>ALTO</v>
      </c>
      <c r="AT34" s="80" t="str">
        <f>IF(SUM($AP34,$AQ34)&gt;=3,"ALTO",IF(SUM($AP34,$AQ34)&lt;2,"BAJO","MEDIO"))</f>
        <v>ALTO</v>
      </c>
      <c r="AU34" s="80" t="str">
        <f>_xlfn.IFNA(IF(AND(AR34="BAJO",AS34="BAJO",AT34="BAJO"),"BAJO",IF(AND(AR34="ALTO",AS34="ALTO",AT34="ALTO"),"ALTO",IF(COUNTIF(AR34:AT34,"ALTO")=2,"ALTO","MEDIO")))," ")</f>
        <v>ALTO</v>
      </c>
      <c r="AV34" s="80" t="str">
        <f>_xlfn.IFNA(VLOOKUP(AD34,[4]Tipologías!$B$3:$G$17,4,0),"")</f>
        <v>INFORMACIÓN PÚBLICA</v>
      </c>
      <c r="AW34" s="80" t="str">
        <f>IF(AV34="INFORMACIÓN PÚBLICA","IPB",IF(AV34="INFORMACIÓN PÚBLICA CLASIFICADA","IPC",IF(AV34="INFORMACIÓN PÚBLICA RESERVADA","IPR",IF(AV34="",""))))</f>
        <v>IPB</v>
      </c>
      <c r="AX34" s="80" t="s">
        <v>195</v>
      </c>
      <c r="AY34" s="80" t="s">
        <v>195</v>
      </c>
      <c r="AZ34" s="80" t="s">
        <v>195</v>
      </c>
      <c r="BA34" s="148" t="s">
        <v>195</v>
      </c>
      <c r="BB34" s="166">
        <v>45077</v>
      </c>
      <c r="BC34" s="148" t="s">
        <v>195</v>
      </c>
      <c r="BD34" s="146" t="s">
        <v>435</v>
      </c>
      <c r="BE34" s="146" t="s">
        <v>436</v>
      </c>
      <c r="BF34" s="45"/>
      <c r="BG34" s="45"/>
      <c r="BH34" s="45"/>
      <c r="BI34" s="45"/>
      <c r="BJ34" s="45"/>
      <c r="BK34" s="45"/>
      <c r="BL34" s="45"/>
      <c r="BM34" s="45"/>
      <c r="BN34" s="45"/>
      <c r="BO34" s="45"/>
      <c r="BP34" s="45"/>
      <c r="BQ34" s="45"/>
      <c r="BR34" s="45"/>
      <c r="BS34" s="45"/>
      <c r="BT34" s="45"/>
      <c r="BU34" s="45"/>
      <c r="BV34" s="45"/>
      <c r="BW34" s="45"/>
      <c r="BX34" s="45"/>
    </row>
    <row r="35" spans="1:76" s="67" customFormat="1" ht="207.75" customHeight="1" x14ac:dyDescent="0.2">
      <c r="A35" s="76">
        <v>26</v>
      </c>
      <c r="B35" s="74" t="s">
        <v>55</v>
      </c>
      <c r="C35" s="74" t="s">
        <v>299</v>
      </c>
      <c r="D35" s="100" t="s">
        <v>68</v>
      </c>
      <c r="E35" s="100" t="s">
        <v>437</v>
      </c>
      <c r="F35" s="75" t="s">
        <v>438</v>
      </c>
      <c r="G35" s="74" t="s">
        <v>205</v>
      </c>
      <c r="H35" s="75" t="s">
        <v>432</v>
      </c>
      <c r="I35" s="75" t="s">
        <v>68</v>
      </c>
      <c r="J35" s="107" t="s">
        <v>336</v>
      </c>
      <c r="K35" s="100" t="s">
        <v>320</v>
      </c>
      <c r="L35" s="75" t="s">
        <v>321</v>
      </c>
      <c r="M35" s="116" t="s">
        <v>195</v>
      </c>
      <c r="N35" s="75" t="s">
        <v>433</v>
      </c>
      <c r="O35" s="116" t="s">
        <v>151</v>
      </c>
      <c r="P35" s="100" t="s">
        <v>439</v>
      </c>
      <c r="Q35" s="76" t="s">
        <v>325</v>
      </c>
      <c r="R35" s="76" t="s">
        <v>195</v>
      </c>
      <c r="S35" s="100" t="s">
        <v>195</v>
      </c>
      <c r="T35" s="100" t="s">
        <v>195</v>
      </c>
      <c r="U35" s="77" t="s">
        <v>328</v>
      </c>
      <c r="V35" s="77" t="s">
        <v>328</v>
      </c>
      <c r="W35" s="77" t="s">
        <v>329</v>
      </c>
      <c r="X35" s="77" t="s">
        <v>329</v>
      </c>
      <c r="Y35" s="77" t="s">
        <v>329</v>
      </c>
      <c r="Z35" s="77" t="s">
        <v>329</v>
      </c>
      <c r="AA35" s="77" t="s">
        <v>195</v>
      </c>
      <c r="AB35" s="77" t="s">
        <v>195</v>
      </c>
      <c r="AC35" s="138" t="s">
        <v>195</v>
      </c>
      <c r="AD35" s="142" t="s">
        <v>208</v>
      </c>
      <c r="AE35" s="142" t="s">
        <v>132</v>
      </c>
      <c r="AF35" s="136" t="s">
        <v>92</v>
      </c>
      <c r="AG35" s="77" t="s">
        <v>102</v>
      </c>
      <c r="AH35" s="136" t="str">
        <f t="shared" si="23"/>
        <v>MEDIO</v>
      </c>
      <c r="AI35" s="78" t="s">
        <v>111</v>
      </c>
      <c r="AJ35" s="77" t="s">
        <v>120</v>
      </c>
      <c r="AK35" s="136" t="s">
        <v>103</v>
      </c>
      <c r="AL35" s="80" t="str">
        <f>VLOOKUP($AD35,[4]Tipologías!$B$3:$G$17,2,FALSE)</f>
        <v>ALTO</v>
      </c>
      <c r="AM35" s="80">
        <f t="shared" si="2"/>
        <v>3</v>
      </c>
      <c r="AN35" s="80" t="str">
        <f>VLOOKUP($AE35,[4]Tipologías!$A$21:$C$24,3,FALSE)</f>
        <v>MEDIO</v>
      </c>
      <c r="AO35" s="80">
        <f t="shared" si="3"/>
        <v>2</v>
      </c>
      <c r="AP35" s="80">
        <f>VLOOKUP($AI35,[4]Tipologías!$A$38:$B$42,2,FALSE)</f>
        <v>0.5</v>
      </c>
      <c r="AQ35" s="80">
        <f>VLOOKUP($AJ35,[4]Tipologías!$A$46:$B$53,2,FALSE)</f>
        <v>1.5</v>
      </c>
      <c r="AR35" s="80" t="str">
        <f>IF(MAX(AM35,AO35)=3,"ALTO",IF(MAX(AM35,AO35)=2,"MEDIO",IF(MAX(AM35,AO35)=1,"BAJO","  ")))</f>
        <v>ALTO</v>
      </c>
      <c r="AS35" s="80" t="str">
        <f>VLOOKUP($AG35,[4]Tipologías!$A$29:$C$33,3,FALSE)</f>
        <v>MEDIO</v>
      </c>
      <c r="AT35" s="80" t="str">
        <f>IF(SUM($AP35,$AQ35)&gt;=3,"ALTO",IF(SUM($AP35,$AQ35)&lt;2,"BAJO","MEDIO"))</f>
        <v>MEDIO</v>
      </c>
      <c r="AU35" s="80" t="str">
        <f>_xlfn.IFNA(IF(AND(AR35="BAJO",AS35="BAJO",AT35="BAJO"),"BAJO",IF(AND(AR35="ALTO",AS35="ALTO",AT35="ALTO"),"ALTO",IF(COUNTIF(AR35:AT35,"ALTO")=2,"ALTO","MEDIO")))," ")</f>
        <v>MEDIO</v>
      </c>
      <c r="AV35" s="80" t="str">
        <f>_xlfn.IFNA(VLOOKUP(AD35,[4]Tipologías!$B$3:$G$17,4,0),"")</f>
        <v>INFORMACIÓN PÚBLICA CLASIFICADA</v>
      </c>
      <c r="AW35" s="80" t="str">
        <f>IF(AV35="INFORMACIÓN PÚBLICA","IPB",IF(AV35="INFORMACIÓN PÚBLICA CLASIFICADA","IPC",IF(AV35="INFORMACIÓN PÚBLICA RESERVADA","IPR",IF(AV35="",""))))</f>
        <v>IPC</v>
      </c>
      <c r="AX35" s="80" t="str">
        <f>_xlfn.IFNA(VLOOKUP(AD35,[4]Tipologías!$B$3:$G$17,3,0),"")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35" s="80" t="str">
        <f>_xlfn.IFNA(VLOOKUP(AD35,[4]Tipologías!$B$3:$G$17,5,0),"")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35" s="80" t="str">
        <f>_xlfn.IFNA(VLOOKUP(AD35,[4]Tipologías!$B$3:$G$17,6,0),"")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35" s="148" t="s">
        <v>197</v>
      </c>
      <c r="BB35" s="166">
        <v>45077</v>
      </c>
      <c r="BC35" s="148" t="s">
        <v>201</v>
      </c>
      <c r="BD35" s="146" t="s">
        <v>435</v>
      </c>
      <c r="BE35" s="146" t="s">
        <v>436</v>
      </c>
      <c r="BF35" s="45"/>
      <c r="BG35" s="45"/>
      <c r="BH35" s="45"/>
      <c r="BI35" s="45"/>
      <c r="BJ35" s="45"/>
      <c r="BK35" s="45"/>
      <c r="BL35" s="45"/>
      <c r="BM35" s="45"/>
      <c r="BN35" s="45"/>
      <c r="BO35" s="45"/>
      <c r="BP35" s="45"/>
      <c r="BQ35" s="45"/>
      <c r="BR35" s="45"/>
      <c r="BS35" s="45"/>
      <c r="BT35" s="45"/>
      <c r="BU35" s="45"/>
      <c r="BV35" s="45"/>
      <c r="BW35" s="45"/>
      <c r="BX35" s="45"/>
    </row>
    <row r="36" spans="1:76" s="68" customFormat="1" ht="207.75" customHeight="1" x14ac:dyDescent="0.2">
      <c r="A36" s="76">
        <v>27</v>
      </c>
      <c r="B36" s="74" t="s">
        <v>55</v>
      </c>
      <c r="C36" s="74" t="s">
        <v>299</v>
      </c>
      <c r="D36" s="100" t="s">
        <v>68</v>
      </c>
      <c r="E36" s="100" t="s">
        <v>440</v>
      </c>
      <c r="F36" s="75" t="s">
        <v>441</v>
      </c>
      <c r="G36" s="74" t="s">
        <v>205</v>
      </c>
      <c r="H36" s="75" t="s">
        <v>432</v>
      </c>
      <c r="I36" s="75" t="s">
        <v>68</v>
      </c>
      <c r="J36" s="107" t="s">
        <v>336</v>
      </c>
      <c r="K36" s="100" t="s">
        <v>320</v>
      </c>
      <c r="L36" s="75" t="s">
        <v>321</v>
      </c>
      <c r="M36" s="116" t="s">
        <v>195</v>
      </c>
      <c r="N36" s="75" t="s">
        <v>442</v>
      </c>
      <c r="O36" s="116" t="s">
        <v>151</v>
      </c>
      <c r="P36" s="100" t="s">
        <v>443</v>
      </c>
      <c r="Q36" s="76" t="s">
        <v>325</v>
      </c>
      <c r="R36" s="76" t="s">
        <v>325</v>
      </c>
      <c r="S36" s="100" t="s">
        <v>195</v>
      </c>
      <c r="T36" s="100" t="s">
        <v>195</v>
      </c>
      <c r="U36" s="77" t="s">
        <v>328</v>
      </c>
      <c r="V36" s="77" t="s">
        <v>329</v>
      </c>
      <c r="W36" s="77" t="s">
        <v>328</v>
      </c>
      <c r="X36" s="77" t="s">
        <v>195</v>
      </c>
      <c r="Y36" s="77" t="s">
        <v>195</v>
      </c>
      <c r="Z36" s="77" t="s">
        <v>329</v>
      </c>
      <c r="AA36" s="77" t="s">
        <v>328</v>
      </c>
      <c r="AB36" s="77" t="s">
        <v>195</v>
      </c>
      <c r="AC36" s="138" t="s">
        <v>195</v>
      </c>
      <c r="AD36" s="142" t="s">
        <v>89</v>
      </c>
      <c r="AE36" s="142" t="s">
        <v>132</v>
      </c>
      <c r="AF36" s="136" t="s">
        <v>103</v>
      </c>
      <c r="AG36" s="77" t="s">
        <v>102</v>
      </c>
      <c r="AH36" s="136" t="str">
        <f t="shared" si="23"/>
        <v>MEDIO</v>
      </c>
      <c r="AI36" s="78" t="s">
        <v>111</v>
      </c>
      <c r="AJ36" s="77" t="s">
        <v>119</v>
      </c>
      <c r="AK36" s="136" t="s">
        <v>103</v>
      </c>
      <c r="AL36" s="80" t="str">
        <f>VLOOKUP($AD36,[4]Tipologías!$B$3:$G$17,2,FALSE)</f>
        <v>BAJO</v>
      </c>
      <c r="AM36" s="80">
        <f t="shared" si="2"/>
        <v>1</v>
      </c>
      <c r="AN36" s="80" t="str">
        <f>VLOOKUP($AE36,[4]Tipologías!$A$21:$C$24,3,FALSE)</f>
        <v>MEDIO</v>
      </c>
      <c r="AO36" s="80">
        <f t="shared" si="3"/>
        <v>2</v>
      </c>
      <c r="AP36" s="80">
        <f>VLOOKUP($AI36,[4]Tipologías!$A$38:$B$42,2,FALSE)</f>
        <v>0.5</v>
      </c>
      <c r="AQ36" s="80">
        <f>VLOOKUP($AJ36,[4]Tipologías!$A$46:$B$53,2,FALSE)</f>
        <v>2</v>
      </c>
      <c r="AR36" s="80" t="str">
        <f t="shared" ref="AR36:AR40" si="24">IF(MAX(AM36,AO36)=3,"ALTO",IF(MAX(AM36,AO36)=2,"MEDIO",IF(MAX(AM36,AO36)=1,"BAJO","  ")))</f>
        <v>MEDIO</v>
      </c>
      <c r="AS36" s="80" t="str">
        <f>VLOOKUP($AG36,[4]Tipologías!$A$29:$C$33,3,FALSE)</f>
        <v>MEDIO</v>
      </c>
      <c r="AT36" s="80" t="str">
        <f t="shared" ref="AT36:AT40" si="25">IF(SUM($AP36,$AQ36)&gt;=3,"ALTO",IF(SUM($AP36,$AQ36)&lt;2,"BAJO","MEDIO"))</f>
        <v>MEDIO</v>
      </c>
      <c r="AU36" s="80" t="str">
        <f t="shared" ref="AU36:AU40" si="26">_xlfn.IFNA(IF(AND(AR36="BAJO",AS36="BAJO",AT36="BAJO"),"BAJO",IF(AND(AR36="ALTO",AS36="ALTO",AT36="ALTO"),"ALTO",IF(COUNTIF(AR36:AT36,"ALTO")=2,"ALTO","MEDIO")))," ")</f>
        <v>MEDIO</v>
      </c>
      <c r="AV36" s="80" t="str">
        <f>_xlfn.IFNA(VLOOKUP(AD36,[4]Tipologías!$B$3:$G$17,4,0),"")</f>
        <v>INFORMACIÓN PÚBLICA</v>
      </c>
      <c r="AW36" s="80" t="str">
        <f t="shared" ref="AW36:AW40" si="27">IF(AV36="INFORMACIÓN PÚBLICA","IPB",IF(AV36="INFORMACIÓN PÚBLICA CLASIFICADA","IPC",IF(AV36="INFORMACIÓN PÚBLICA RESERVADA","IPR",IF(AV36="",""))))</f>
        <v>IPB</v>
      </c>
      <c r="AX36" s="80" t="str">
        <f>_xlfn.IFNA(VLOOKUP(AD36,[4]Tipologías!$B$3:$G$17,3,0),"")</f>
        <v>LEY 1712 DE 2014 LEY DE TRANSPARENCIA Y DERECHO DE ACCESO A LA INFORMACIÓN. ARTÍCULO 6 DEFINICIONES LITERAL B.</v>
      </c>
      <c r="AY36" s="80" t="str">
        <f>_xlfn.IFNA(VLOOKUP(AD36,[4]Tipologías!$B$3:$G$17,5,0),"")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6" s="80" t="str">
        <f>_xlfn.IFNA(VLOOKUP(AD36,[4]Tipologías!$B$3:$G$17,6,0),"")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6" s="148" t="s">
        <v>197</v>
      </c>
      <c r="BB36" s="166">
        <v>45077</v>
      </c>
      <c r="BC36" s="148" t="s">
        <v>201</v>
      </c>
      <c r="BD36" s="146" t="s">
        <v>444</v>
      </c>
      <c r="BE36" s="146" t="s">
        <v>436</v>
      </c>
      <c r="BF36" s="45"/>
      <c r="BG36" s="45"/>
      <c r="BH36" s="45"/>
      <c r="BI36" s="45"/>
      <c r="BJ36" s="45"/>
      <c r="BK36" s="45"/>
      <c r="BL36" s="45"/>
      <c r="BM36" s="45"/>
      <c r="BN36" s="45"/>
      <c r="BO36" s="45"/>
      <c r="BP36" s="45"/>
      <c r="BQ36" s="45"/>
      <c r="BR36" s="45"/>
      <c r="BS36" s="45"/>
      <c r="BT36" s="45"/>
      <c r="BU36" s="45"/>
      <c r="BV36" s="45"/>
      <c r="BW36" s="45"/>
      <c r="BX36" s="45"/>
    </row>
    <row r="37" spans="1:76" s="67" customFormat="1" ht="207.75" customHeight="1" x14ac:dyDescent="0.2">
      <c r="A37" s="76">
        <v>28</v>
      </c>
      <c r="B37" s="74" t="s">
        <v>55</v>
      </c>
      <c r="C37" s="74" t="s">
        <v>299</v>
      </c>
      <c r="D37" s="100" t="s">
        <v>68</v>
      </c>
      <c r="E37" s="100" t="s">
        <v>426</v>
      </c>
      <c r="F37" s="75" t="s">
        <v>445</v>
      </c>
      <c r="G37" s="74" t="s">
        <v>205</v>
      </c>
      <c r="H37" s="75" t="s">
        <v>446</v>
      </c>
      <c r="I37" s="75" t="s">
        <v>68</v>
      </c>
      <c r="J37" s="107" t="s">
        <v>336</v>
      </c>
      <c r="K37" s="100" t="s">
        <v>320</v>
      </c>
      <c r="L37" s="75" t="s">
        <v>321</v>
      </c>
      <c r="M37" s="116" t="s">
        <v>195</v>
      </c>
      <c r="N37" s="75" t="s">
        <v>447</v>
      </c>
      <c r="O37" s="116" t="s">
        <v>151</v>
      </c>
      <c r="P37" s="100" t="s">
        <v>443</v>
      </c>
      <c r="Q37" s="76" t="s">
        <v>325</v>
      </c>
      <c r="R37" s="76" t="s">
        <v>325</v>
      </c>
      <c r="S37" s="100" t="s">
        <v>195</v>
      </c>
      <c r="T37" s="100" t="s">
        <v>195</v>
      </c>
      <c r="U37" s="77" t="s">
        <v>195</v>
      </c>
      <c r="V37" s="77" t="s">
        <v>195</v>
      </c>
      <c r="W37" s="77" t="s">
        <v>195</v>
      </c>
      <c r="X37" s="77" t="s">
        <v>195</v>
      </c>
      <c r="Y37" s="77" t="s">
        <v>195</v>
      </c>
      <c r="Z37" s="77" t="s">
        <v>195</v>
      </c>
      <c r="AA37" s="77" t="s">
        <v>195</v>
      </c>
      <c r="AB37" s="77" t="s">
        <v>195</v>
      </c>
      <c r="AC37" s="138" t="s">
        <v>195</v>
      </c>
      <c r="AD37" s="142" t="s">
        <v>89</v>
      </c>
      <c r="AE37" s="142" t="s">
        <v>130</v>
      </c>
      <c r="AF37" s="136" t="s">
        <v>90</v>
      </c>
      <c r="AG37" s="77" t="s">
        <v>104</v>
      </c>
      <c r="AH37" s="136" t="str">
        <f t="shared" si="23"/>
        <v>ALTO</v>
      </c>
      <c r="AI37" s="78" t="s">
        <v>114</v>
      </c>
      <c r="AJ37" s="77" t="s">
        <v>119</v>
      </c>
      <c r="AK37" s="136" t="s">
        <v>92</v>
      </c>
      <c r="AL37" s="80" t="str">
        <f>VLOOKUP($AD37,[4]Tipologías!$B$3:$G$17,2,FALSE)</f>
        <v>BAJO</v>
      </c>
      <c r="AM37" s="80">
        <f t="shared" si="2"/>
        <v>1</v>
      </c>
      <c r="AN37" s="80" t="str">
        <f>VLOOKUP($AE37,[4]Tipologías!$A$21:$C$24,3,FALSE)</f>
        <v>BAJO</v>
      </c>
      <c r="AO37" s="80">
        <f t="shared" si="3"/>
        <v>1</v>
      </c>
      <c r="AP37" s="80">
        <f>VLOOKUP($AI37,[4]Tipologías!$A$38:$B$42,2,FALSE)</f>
        <v>1.5</v>
      </c>
      <c r="AQ37" s="80">
        <f>VLOOKUP($AJ37,[4]Tipologías!$A$46:$B$53,2,FALSE)</f>
        <v>2</v>
      </c>
      <c r="AR37" s="80" t="str">
        <f t="shared" si="24"/>
        <v>BAJO</v>
      </c>
      <c r="AS37" s="80" t="str">
        <f>VLOOKUP($AG37,[4]Tipologías!$A$29:$C$33,3,FALSE)</f>
        <v>ALTO</v>
      </c>
      <c r="AT37" s="80" t="str">
        <f t="shared" si="25"/>
        <v>ALTO</v>
      </c>
      <c r="AU37" s="80" t="str">
        <f t="shared" si="26"/>
        <v>ALTO</v>
      </c>
      <c r="AV37" s="80" t="str">
        <f>_xlfn.IFNA(VLOOKUP(AD37,[4]Tipologías!$B$3:$G$17,4,0),"")</f>
        <v>INFORMACIÓN PÚBLICA</v>
      </c>
      <c r="AW37" s="80" t="str">
        <f t="shared" si="27"/>
        <v>IPB</v>
      </c>
      <c r="AX37" s="80" t="str">
        <f>_xlfn.IFNA(VLOOKUP(AD37,[4]Tipologías!$B$3:$G$17,3,0),"")</f>
        <v>LEY 1712 DE 2014 LEY DE TRANSPARENCIA Y DERECHO DE ACCESO A LA INFORMACIÓN. ARTÍCULO 6 DEFINICIONES LITERAL B.</v>
      </c>
      <c r="AY37" s="80" t="str">
        <f>_xlfn.IFNA(VLOOKUP(AD37,[4]Tipologías!$B$3:$G$17,5,0),"")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7" s="80" t="str">
        <f>_xlfn.IFNA(VLOOKUP(AD37,[4]Tipologías!$B$3:$G$17,6,0),"")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7" s="148" t="s">
        <v>195</v>
      </c>
      <c r="BB37" s="166">
        <v>45077</v>
      </c>
      <c r="BC37" s="148" t="s">
        <v>195</v>
      </c>
      <c r="BD37" s="146" t="s">
        <v>448</v>
      </c>
      <c r="BE37" s="146" t="s">
        <v>436</v>
      </c>
      <c r="BF37" s="45"/>
      <c r="BG37" s="45"/>
      <c r="BH37" s="45"/>
      <c r="BI37" s="45"/>
      <c r="BJ37" s="45"/>
      <c r="BK37" s="45"/>
      <c r="BL37" s="45"/>
      <c r="BM37" s="45"/>
      <c r="BN37" s="45"/>
      <c r="BO37" s="45"/>
      <c r="BP37" s="45"/>
      <c r="BQ37" s="45"/>
      <c r="BR37" s="45"/>
      <c r="BS37" s="45"/>
      <c r="BT37" s="45"/>
      <c r="BU37" s="45"/>
      <c r="BV37" s="45"/>
      <c r="BW37" s="45"/>
      <c r="BX37" s="45"/>
    </row>
    <row r="38" spans="1:76" s="67" customFormat="1" ht="207.75" customHeight="1" x14ac:dyDescent="0.2">
      <c r="A38" s="76">
        <v>29</v>
      </c>
      <c r="B38" s="74" t="s">
        <v>55</v>
      </c>
      <c r="C38" s="74" t="s">
        <v>299</v>
      </c>
      <c r="D38" s="100" t="s">
        <v>68</v>
      </c>
      <c r="E38" s="100" t="s">
        <v>430</v>
      </c>
      <c r="F38" s="75" t="s">
        <v>449</v>
      </c>
      <c r="G38" s="74" t="s">
        <v>199</v>
      </c>
      <c r="H38" s="75" t="s">
        <v>432</v>
      </c>
      <c r="I38" s="75" t="s">
        <v>68</v>
      </c>
      <c r="J38" s="107" t="s">
        <v>336</v>
      </c>
      <c r="K38" s="100" t="s">
        <v>320</v>
      </c>
      <c r="L38" s="75" t="s">
        <v>362</v>
      </c>
      <c r="M38" s="116" t="s">
        <v>195</v>
      </c>
      <c r="N38" s="75" t="s">
        <v>433</v>
      </c>
      <c r="O38" s="116" t="s">
        <v>151</v>
      </c>
      <c r="P38" s="100" t="s">
        <v>439</v>
      </c>
      <c r="Q38" s="76" t="s">
        <v>325</v>
      </c>
      <c r="R38" s="76" t="s">
        <v>325</v>
      </c>
      <c r="S38" s="100" t="s">
        <v>195</v>
      </c>
      <c r="T38" s="100" t="s">
        <v>195</v>
      </c>
      <c r="U38" s="77" t="s">
        <v>328</v>
      </c>
      <c r="V38" s="77" t="s">
        <v>329</v>
      </c>
      <c r="W38" s="77" t="s">
        <v>329</v>
      </c>
      <c r="X38" s="77" t="s">
        <v>329</v>
      </c>
      <c r="Y38" s="77" t="s">
        <v>329</v>
      </c>
      <c r="Z38" s="77" t="s">
        <v>195</v>
      </c>
      <c r="AA38" s="77" t="s">
        <v>328</v>
      </c>
      <c r="AB38" s="77" t="s">
        <v>328</v>
      </c>
      <c r="AC38" s="138" t="s">
        <v>195</v>
      </c>
      <c r="AD38" s="142" t="s">
        <v>89</v>
      </c>
      <c r="AE38" s="142" t="s">
        <v>130</v>
      </c>
      <c r="AF38" s="136" t="s">
        <v>90</v>
      </c>
      <c r="AG38" s="77" t="s">
        <v>104</v>
      </c>
      <c r="AH38" s="136" t="str">
        <f t="shared" si="23"/>
        <v>ALTO</v>
      </c>
      <c r="AI38" s="78" t="s">
        <v>115</v>
      </c>
      <c r="AJ38" s="77" t="s">
        <v>117</v>
      </c>
      <c r="AK38" s="136" t="s">
        <v>92</v>
      </c>
      <c r="AL38" s="80" t="str">
        <f>VLOOKUP($AD38,[4]Tipologías!$B$3:$G$17,2,FALSE)</f>
        <v>BAJO</v>
      </c>
      <c r="AM38" s="80">
        <f t="shared" si="2"/>
        <v>1</v>
      </c>
      <c r="AN38" s="80" t="str">
        <f>VLOOKUP($AE38,[4]Tipologías!$A$21:$C$24,3,FALSE)</f>
        <v>BAJO</v>
      </c>
      <c r="AO38" s="80">
        <f t="shared" si="3"/>
        <v>1</v>
      </c>
      <c r="AP38" s="80">
        <f>VLOOKUP($AI38,[4]Tipologías!$A$38:$B$42,2,FALSE)</f>
        <v>2</v>
      </c>
      <c r="AQ38" s="80">
        <f>VLOOKUP($AJ38,[4]Tipologías!$A$46:$B$53,2,FALSE)</f>
        <v>2.5</v>
      </c>
      <c r="AR38" s="80" t="str">
        <f t="shared" si="24"/>
        <v>BAJO</v>
      </c>
      <c r="AS38" s="80" t="str">
        <f>VLOOKUP($AG38,[4]Tipologías!$A$29:$C$33,3,FALSE)</f>
        <v>ALTO</v>
      </c>
      <c r="AT38" s="80" t="str">
        <f t="shared" si="25"/>
        <v>ALTO</v>
      </c>
      <c r="AU38" s="80" t="str">
        <f t="shared" si="26"/>
        <v>ALTO</v>
      </c>
      <c r="AV38" s="80" t="str">
        <f>_xlfn.IFNA(VLOOKUP(AD38,[4]Tipologías!$B$3:$G$17,4,0),"")</f>
        <v>INFORMACIÓN PÚBLICA</v>
      </c>
      <c r="AW38" s="80" t="str">
        <f t="shared" si="27"/>
        <v>IPB</v>
      </c>
      <c r="AX38" s="80" t="str">
        <f>_xlfn.IFNA(VLOOKUP(AD38,[4]Tipologías!$B$3:$G$17,3,0),"")</f>
        <v>LEY 1712 DE 2014 LEY DE TRANSPARENCIA Y DERECHO DE ACCESO A LA INFORMACIÓN. ARTÍCULO 6 DEFINICIONES LITERAL B.</v>
      </c>
      <c r="AY38" s="80" t="str">
        <f>_xlfn.IFNA(VLOOKUP(AD38,[4]Tipologías!$B$3:$G$17,5,0),"")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38" s="80" t="str">
        <f>_xlfn.IFNA(VLOOKUP(AD38,[4]Tipologías!$B$3:$G$17,6,0),"")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38" s="148" t="s">
        <v>195</v>
      </c>
      <c r="BB38" s="166">
        <v>45077</v>
      </c>
      <c r="BC38" s="148" t="s">
        <v>195</v>
      </c>
      <c r="BD38" s="146" t="s">
        <v>435</v>
      </c>
      <c r="BE38" s="146" t="s">
        <v>436</v>
      </c>
      <c r="BF38" s="45"/>
      <c r="BG38" s="45"/>
      <c r="BH38" s="45"/>
      <c r="BI38" s="45"/>
      <c r="BJ38" s="45"/>
      <c r="BK38" s="45"/>
      <c r="BL38" s="45"/>
      <c r="BM38" s="45"/>
      <c r="BN38" s="45"/>
      <c r="BO38" s="45"/>
      <c r="BP38" s="45"/>
      <c r="BQ38" s="45"/>
      <c r="BR38" s="45"/>
      <c r="BS38" s="45"/>
      <c r="BT38" s="45"/>
      <c r="BU38" s="45"/>
      <c r="BV38" s="45"/>
      <c r="BW38" s="45"/>
      <c r="BX38" s="45"/>
    </row>
    <row r="39" spans="1:76" s="67" customFormat="1" ht="207.75" customHeight="1" x14ac:dyDescent="0.2">
      <c r="A39" s="76">
        <v>30</v>
      </c>
      <c r="B39" s="74" t="s">
        <v>55</v>
      </c>
      <c r="C39" s="74" t="s">
        <v>299</v>
      </c>
      <c r="D39" s="100" t="s">
        <v>68</v>
      </c>
      <c r="E39" s="100" t="s">
        <v>437</v>
      </c>
      <c r="F39" s="75" t="s">
        <v>438</v>
      </c>
      <c r="G39" s="74" t="s">
        <v>141</v>
      </c>
      <c r="H39" s="75" t="s">
        <v>432</v>
      </c>
      <c r="I39" s="75" t="s">
        <v>68</v>
      </c>
      <c r="J39" s="107" t="s">
        <v>336</v>
      </c>
      <c r="K39" s="100" t="s">
        <v>320</v>
      </c>
      <c r="L39" s="75" t="s">
        <v>321</v>
      </c>
      <c r="M39" s="116" t="s">
        <v>195</v>
      </c>
      <c r="N39" s="75" t="s">
        <v>433</v>
      </c>
      <c r="O39" s="116" t="s">
        <v>151</v>
      </c>
      <c r="P39" s="100" t="s">
        <v>439</v>
      </c>
      <c r="Q39" s="76" t="s">
        <v>325</v>
      </c>
      <c r="R39" s="76" t="s">
        <v>195</v>
      </c>
      <c r="S39" s="100" t="s">
        <v>195</v>
      </c>
      <c r="T39" s="100" t="s">
        <v>195</v>
      </c>
      <c r="U39" s="77" t="s">
        <v>328</v>
      </c>
      <c r="V39" s="77" t="s">
        <v>195</v>
      </c>
      <c r="W39" s="77" t="s">
        <v>329</v>
      </c>
      <c r="X39" s="77" t="s">
        <v>329</v>
      </c>
      <c r="Y39" s="77" t="s">
        <v>329</v>
      </c>
      <c r="Z39" s="77" t="s">
        <v>195</v>
      </c>
      <c r="AA39" s="77" t="s">
        <v>195</v>
      </c>
      <c r="AB39" s="77" t="s">
        <v>195</v>
      </c>
      <c r="AC39" s="138" t="s">
        <v>195</v>
      </c>
      <c r="AD39" s="142" t="s">
        <v>208</v>
      </c>
      <c r="AE39" s="142" t="s">
        <v>132</v>
      </c>
      <c r="AF39" s="136" t="s">
        <v>92</v>
      </c>
      <c r="AG39" s="77" t="s">
        <v>102</v>
      </c>
      <c r="AH39" s="136" t="str">
        <f t="shared" si="23"/>
        <v>MEDIO</v>
      </c>
      <c r="AI39" s="78" t="s">
        <v>111</v>
      </c>
      <c r="AJ39" s="77" t="s">
        <v>120</v>
      </c>
      <c r="AK39" s="136" t="s">
        <v>103</v>
      </c>
      <c r="AL39" s="80" t="str">
        <f>VLOOKUP($AD39,[4]Tipologías!$B$3:$G$17,2,FALSE)</f>
        <v>ALTO</v>
      </c>
      <c r="AM39" s="80">
        <f t="shared" si="2"/>
        <v>3</v>
      </c>
      <c r="AN39" s="80" t="str">
        <f>VLOOKUP($AE39,[4]Tipologías!$A$21:$C$24,3,FALSE)</f>
        <v>MEDIO</v>
      </c>
      <c r="AO39" s="80">
        <f t="shared" si="3"/>
        <v>2</v>
      </c>
      <c r="AP39" s="80">
        <f>VLOOKUP($AI39,[4]Tipologías!$A$38:$B$42,2,FALSE)</f>
        <v>0.5</v>
      </c>
      <c r="AQ39" s="80">
        <f>VLOOKUP($AJ39,[4]Tipologías!$A$46:$B$53,2,FALSE)</f>
        <v>1.5</v>
      </c>
      <c r="AR39" s="80" t="str">
        <f t="shared" si="24"/>
        <v>ALTO</v>
      </c>
      <c r="AS39" s="80" t="str">
        <f>VLOOKUP($AG39,[4]Tipologías!$A$29:$C$33,3,FALSE)</f>
        <v>MEDIO</v>
      </c>
      <c r="AT39" s="80" t="str">
        <f t="shared" si="25"/>
        <v>MEDIO</v>
      </c>
      <c r="AU39" s="80" t="str">
        <f t="shared" si="26"/>
        <v>MEDIO</v>
      </c>
      <c r="AV39" s="80" t="str">
        <f>_xlfn.IFNA(VLOOKUP(AD39,[4]Tipologías!$B$3:$G$17,4,0),"")</f>
        <v>INFORMACIÓN PÚBLICA CLASIFICADA</v>
      </c>
      <c r="AW39" s="80" t="str">
        <f t="shared" si="27"/>
        <v>IPC</v>
      </c>
      <c r="AX39" s="80" t="str">
        <f>_xlfn.IFNA(VLOOKUP(AD39,[4]Tipologías!$B$3:$G$17,3,0),"")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39" s="80" t="str">
        <f>_xlfn.IFNA(VLOOKUP(AD39,[4]Tipologías!$B$3:$G$17,5,0),"")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39" s="80" t="str">
        <f>_xlfn.IFNA(VLOOKUP(AD39,[4]Tipologías!$B$3:$G$17,6,0),"")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39" s="148" t="s">
        <v>197</v>
      </c>
      <c r="BB39" s="166">
        <v>45077</v>
      </c>
      <c r="BC39" s="148" t="s">
        <v>201</v>
      </c>
      <c r="BD39" s="146" t="s">
        <v>435</v>
      </c>
      <c r="BE39" s="146" t="s">
        <v>436</v>
      </c>
      <c r="BF39" s="45"/>
      <c r="BG39" s="45"/>
      <c r="BH39" s="45"/>
      <c r="BI39" s="45"/>
      <c r="BJ39" s="45"/>
      <c r="BK39" s="45"/>
      <c r="BL39" s="45"/>
      <c r="BM39" s="45"/>
      <c r="BN39" s="45"/>
      <c r="BO39" s="45"/>
      <c r="BP39" s="45"/>
      <c r="BQ39" s="45"/>
      <c r="BR39" s="45"/>
      <c r="BS39" s="45"/>
      <c r="BT39" s="45"/>
      <c r="BU39" s="45"/>
      <c r="BV39" s="45"/>
      <c r="BW39" s="45"/>
      <c r="BX39" s="45"/>
    </row>
    <row r="40" spans="1:76" s="68" customFormat="1" ht="207.75" customHeight="1" x14ac:dyDescent="0.2">
      <c r="A40" s="76">
        <v>31</v>
      </c>
      <c r="B40" s="74" t="s">
        <v>55</v>
      </c>
      <c r="C40" s="74" t="s">
        <v>299</v>
      </c>
      <c r="D40" s="100" t="s">
        <v>68</v>
      </c>
      <c r="E40" s="100" t="s">
        <v>450</v>
      </c>
      <c r="F40" s="75" t="s">
        <v>451</v>
      </c>
      <c r="G40" s="74" t="s">
        <v>140</v>
      </c>
      <c r="H40" s="75" t="s">
        <v>446</v>
      </c>
      <c r="I40" s="75" t="s">
        <v>68</v>
      </c>
      <c r="J40" s="107" t="s">
        <v>336</v>
      </c>
      <c r="K40" s="100" t="s">
        <v>320</v>
      </c>
      <c r="L40" s="75" t="s">
        <v>321</v>
      </c>
      <c r="M40" s="116" t="s">
        <v>195</v>
      </c>
      <c r="N40" s="75" t="s">
        <v>452</v>
      </c>
      <c r="O40" s="116" t="s">
        <v>144</v>
      </c>
      <c r="P40" s="100" t="s">
        <v>453</v>
      </c>
      <c r="Q40" s="76" t="s">
        <v>325</v>
      </c>
      <c r="R40" s="76" t="s">
        <v>195</v>
      </c>
      <c r="S40" s="100" t="s">
        <v>195</v>
      </c>
      <c r="T40" s="100" t="s">
        <v>195</v>
      </c>
      <c r="U40" s="77" t="s">
        <v>195</v>
      </c>
      <c r="V40" s="77" t="s">
        <v>329</v>
      </c>
      <c r="W40" s="77" t="s">
        <v>195</v>
      </c>
      <c r="X40" s="77" t="s">
        <v>195</v>
      </c>
      <c r="Y40" s="77" t="s">
        <v>195</v>
      </c>
      <c r="Z40" s="77" t="s">
        <v>195</v>
      </c>
      <c r="AA40" s="77" t="s">
        <v>328</v>
      </c>
      <c r="AB40" s="77" t="s">
        <v>328</v>
      </c>
      <c r="AC40" s="138" t="s">
        <v>195</v>
      </c>
      <c r="AD40" s="142" t="s">
        <v>208</v>
      </c>
      <c r="AE40" s="142" t="s">
        <v>132</v>
      </c>
      <c r="AF40" s="136" t="s">
        <v>92</v>
      </c>
      <c r="AG40" s="77" t="s">
        <v>104</v>
      </c>
      <c r="AH40" s="136" t="str">
        <f t="shared" si="23"/>
        <v>ALTO</v>
      </c>
      <c r="AI40" s="78" t="s">
        <v>111</v>
      </c>
      <c r="AJ40" s="77" t="s">
        <v>117</v>
      </c>
      <c r="AK40" s="136" t="s">
        <v>92</v>
      </c>
      <c r="AL40" s="80" t="str">
        <f>VLOOKUP($AD40,[4]Tipologías!$B$3:$G$17,2,FALSE)</f>
        <v>ALTO</v>
      </c>
      <c r="AM40" s="80">
        <f t="shared" si="2"/>
        <v>3</v>
      </c>
      <c r="AN40" s="80" t="str">
        <f>VLOOKUP($AE40,[4]Tipologías!$A$21:$C$24,3,FALSE)</f>
        <v>MEDIO</v>
      </c>
      <c r="AO40" s="80">
        <f t="shared" si="3"/>
        <v>2</v>
      </c>
      <c r="AP40" s="80">
        <f>VLOOKUP($AI40,[4]Tipologías!$A$38:$B$42,2,FALSE)</f>
        <v>0.5</v>
      </c>
      <c r="AQ40" s="80">
        <f>VLOOKUP($AJ40,[4]Tipologías!$A$46:$B$53,2,FALSE)</f>
        <v>2.5</v>
      </c>
      <c r="AR40" s="80" t="str">
        <f t="shared" si="24"/>
        <v>ALTO</v>
      </c>
      <c r="AS40" s="80" t="str">
        <f>VLOOKUP($AG40,[4]Tipologías!$A$29:$C$33,3,FALSE)</f>
        <v>ALTO</v>
      </c>
      <c r="AT40" s="80" t="str">
        <f t="shared" si="25"/>
        <v>ALTO</v>
      </c>
      <c r="AU40" s="80" t="str">
        <f t="shared" si="26"/>
        <v>ALTO</v>
      </c>
      <c r="AV40" s="80" t="str">
        <f>_xlfn.IFNA(VLOOKUP(AD40,[4]Tipologías!$B$3:$G$17,4,0),"")</f>
        <v>INFORMACIÓN PÚBLICA CLASIFICADA</v>
      </c>
      <c r="AW40" s="80" t="str">
        <f t="shared" si="27"/>
        <v>IPC</v>
      </c>
      <c r="AX40" s="80" t="str">
        <f>_xlfn.IFNA(VLOOKUP(AD40,[4]Tipologías!$B$3:$G$17,3,0),"")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40" s="80" t="str">
        <f>_xlfn.IFNA(VLOOKUP(AD40,[4]Tipologías!$B$3:$G$17,5,0),"")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40" s="80" t="str">
        <f>_xlfn.IFNA(VLOOKUP(AD40,[4]Tipologías!$B$3:$G$17,6,0),"")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40" s="148" t="s">
        <v>197</v>
      </c>
      <c r="BB40" s="166">
        <v>45077</v>
      </c>
      <c r="BC40" s="148" t="s">
        <v>201</v>
      </c>
      <c r="BD40" s="146" t="s">
        <v>454</v>
      </c>
      <c r="BE40" s="146" t="s">
        <v>436</v>
      </c>
      <c r="BF40" s="45"/>
      <c r="BG40" s="45"/>
      <c r="BH40" s="45"/>
      <c r="BI40" s="45"/>
      <c r="BJ40" s="45"/>
      <c r="BK40" s="45"/>
      <c r="BL40" s="45"/>
      <c r="BM40" s="45"/>
      <c r="BN40" s="45"/>
      <c r="BO40" s="45"/>
      <c r="BP40" s="45"/>
      <c r="BQ40" s="45"/>
      <c r="BR40" s="45"/>
      <c r="BS40" s="45"/>
      <c r="BT40" s="45"/>
      <c r="BU40" s="45"/>
      <c r="BV40" s="45"/>
      <c r="BW40" s="45"/>
      <c r="BX40" s="45"/>
    </row>
    <row r="41" spans="1:76" s="67" customFormat="1" ht="207.75" customHeight="1" x14ac:dyDescent="0.2">
      <c r="A41" s="76">
        <v>32</v>
      </c>
      <c r="B41" s="74" t="s">
        <v>65</v>
      </c>
      <c r="C41" s="74" t="s">
        <v>313</v>
      </c>
      <c r="D41" s="100" t="s">
        <v>61</v>
      </c>
      <c r="E41" s="100" t="s">
        <v>355</v>
      </c>
      <c r="F41" s="75" t="s">
        <v>455</v>
      </c>
      <c r="G41" s="74" t="s">
        <v>205</v>
      </c>
      <c r="H41" s="75" t="s">
        <v>61</v>
      </c>
      <c r="I41" s="75" t="s">
        <v>456</v>
      </c>
      <c r="J41" s="107" t="s">
        <v>319</v>
      </c>
      <c r="K41" s="100" t="s">
        <v>320</v>
      </c>
      <c r="L41" s="75" t="s">
        <v>321</v>
      </c>
      <c r="M41" s="75" t="s">
        <v>457</v>
      </c>
      <c r="N41" s="75" t="s">
        <v>458</v>
      </c>
      <c r="O41" s="116" t="s">
        <v>151</v>
      </c>
      <c r="P41" s="100" t="s">
        <v>459</v>
      </c>
      <c r="Q41" s="76" t="s">
        <v>325</v>
      </c>
      <c r="R41" s="76" t="s">
        <v>195</v>
      </c>
      <c r="S41" s="100" t="s">
        <v>355</v>
      </c>
      <c r="T41" s="100" t="s">
        <v>460</v>
      </c>
      <c r="U41" s="77" t="s">
        <v>328</v>
      </c>
      <c r="V41" s="77" t="s">
        <v>328</v>
      </c>
      <c r="W41" s="77" t="s">
        <v>195</v>
      </c>
      <c r="X41" s="77" t="s">
        <v>195</v>
      </c>
      <c r="Y41" s="77" t="s">
        <v>195</v>
      </c>
      <c r="Z41" s="77" t="s">
        <v>195</v>
      </c>
      <c r="AA41" s="77" t="s">
        <v>195</v>
      </c>
      <c r="AB41" s="77" t="s">
        <v>328</v>
      </c>
      <c r="AC41" s="138" t="s">
        <v>195</v>
      </c>
      <c r="AD41" s="142" t="s">
        <v>89</v>
      </c>
      <c r="AE41" s="142" t="s">
        <v>130</v>
      </c>
      <c r="AF41" s="136" t="str">
        <f>AR41</f>
        <v>BAJO</v>
      </c>
      <c r="AG41" s="77" t="s">
        <v>102</v>
      </c>
      <c r="AH41" s="136" t="str">
        <f t="shared" si="23"/>
        <v>MEDIO</v>
      </c>
      <c r="AI41" s="78" t="s">
        <v>113</v>
      </c>
      <c r="AJ41" s="77" t="s">
        <v>121</v>
      </c>
      <c r="AK41" s="136" t="str">
        <f>_xlfn.IFNA((AT41),"")</f>
        <v>MEDIO</v>
      </c>
      <c r="AL41" s="80" t="str">
        <f>VLOOKUP($AD41,[5]Tipologías!$B$3:$G$17,2,FALSE)</f>
        <v>BAJO</v>
      </c>
      <c r="AM41" s="80">
        <f t="shared" si="2"/>
        <v>1</v>
      </c>
      <c r="AN41" s="80" t="str">
        <f>VLOOKUP($AE41,[5]Tipologías!$A$21:$C$24,3,FALSE)</f>
        <v>BAJO</v>
      </c>
      <c r="AO41" s="80">
        <f t="shared" si="3"/>
        <v>1</v>
      </c>
      <c r="AP41" s="80">
        <f>VLOOKUP($AI41,[5]Tipologías!$A$38:$B$42,2,FALSE)</f>
        <v>1</v>
      </c>
      <c r="AQ41" s="80">
        <f>VLOOKUP($AJ41,[5]Tipologías!$A$46:$B$53,2,FALSE)</f>
        <v>1.25</v>
      </c>
      <c r="AR41" s="80" t="str">
        <f>IF(MAX(AM41,AO41)=3,"ALTO",IF(MAX(AM41,AO41)=2,"MEDIO",IF(MAX(AM41,AO41)=1,"BAJO","  ")))</f>
        <v>BAJO</v>
      </c>
      <c r="AS41" s="80" t="str">
        <f>VLOOKUP($AG41,[5]Tipologías!$A$29:$C$33,3,FALSE)</f>
        <v>MEDIO</v>
      </c>
      <c r="AT41" s="80" t="str">
        <f>IF(SUM($AP41,$AQ41)&gt;=3,"ALTO",IF(SUM($AP41,$AQ41)&lt;2,"BAJO","MEDIO"))</f>
        <v>MEDIO</v>
      </c>
      <c r="AU41" s="80" t="str">
        <f>_xlfn.IFNA(IF(AND(AR41="BAJO",AS41="BAJO",AT41="BAJO"),"BAJO",IF(AND(AR41="ALTO",AS41="ALTO",AT41="ALTO"),"ALTO",IF(COUNTIF(AR41:AT41,"ALTO")=2,"ALTO","MEDIO")))," ")</f>
        <v>MEDIO</v>
      </c>
      <c r="AV41" s="80" t="str">
        <f>_xlfn.IFNA(VLOOKUP(AD41,[5]Tipologías!$B$3:$G$17,4,0),"")</f>
        <v>INFORMACIÓN PÚBLICA</v>
      </c>
      <c r="AW41" s="80" t="str">
        <f>IF(AV41="INFORMACIÓN PÚBLICA","IPB",IF(AV41="INFORMACIÓN PÚBLICA CLASIFICADA","IPC",IF(AV41="INFORMACIÓN PÚBLICA RESERVADA","IPR",IF(AV41="",""))))</f>
        <v>IPB</v>
      </c>
      <c r="AX41" s="80" t="s">
        <v>195</v>
      </c>
      <c r="AY41" s="80" t="s">
        <v>195</v>
      </c>
      <c r="AZ41" s="80" t="s">
        <v>195</v>
      </c>
      <c r="BA41" s="148" t="s">
        <v>198</v>
      </c>
      <c r="BB41" s="166">
        <v>45077</v>
      </c>
      <c r="BC41" s="148" t="s">
        <v>195</v>
      </c>
      <c r="BD41" s="146" t="s">
        <v>461</v>
      </c>
      <c r="BE41" s="146" t="s">
        <v>462</v>
      </c>
      <c r="BF41" s="45"/>
      <c r="BG41" s="45"/>
      <c r="BH41" s="45"/>
      <c r="BI41" s="45"/>
      <c r="BJ41" s="45"/>
      <c r="BK41" s="45"/>
      <c r="BL41" s="45"/>
      <c r="BM41" s="45"/>
      <c r="BN41" s="45"/>
      <c r="BO41" s="45"/>
      <c r="BP41" s="45"/>
      <c r="BQ41" s="45"/>
      <c r="BR41" s="45"/>
      <c r="BS41" s="45"/>
      <c r="BT41" s="45"/>
      <c r="BU41" s="45"/>
      <c r="BV41" s="45"/>
      <c r="BW41" s="45"/>
      <c r="BX41" s="45"/>
    </row>
    <row r="42" spans="1:76" s="68" customFormat="1" ht="207.75" customHeight="1" x14ac:dyDescent="0.2">
      <c r="A42" s="76">
        <v>33</v>
      </c>
      <c r="B42" s="74" t="s">
        <v>65</v>
      </c>
      <c r="C42" s="74" t="s">
        <v>313</v>
      </c>
      <c r="D42" s="100" t="s">
        <v>61</v>
      </c>
      <c r="E42" s="100" t="s">
        <v>406</v>
      </c>
      <c r="F42" s="75" t="s">
        <v>463</v>
      </c>
      <c r="G42" s="74" t="s">
        <v>205</v>
      </c>
      <c r="H42" s="75" t="s">
        <v>61</v>
      </c>
      <c r="I42" s="75" t="s">
        <v>456</v>
      </c>
      <c r="J42" s="107" t="s">
        <v>319</v>
      </c>
      <c r="K42" s="100" t="s">
        <v>320</v>
      </c>
      <c r="L42" s="75" t="s">
        <v>321</v>
      </c>
      <c r="M42" s="75" t="s">
        <v>457</v>
      </c>
      <c r="N42" s="75" t="s">
        <v>458</v>
      </c>
      <c r="O42" s="116" t="s">
        <v>151</v>
      </c>
      <c r="P42" s="100" t="s">
        <v>459</v>
      </c>
      <c r="Q42" s="76" t="s">
        <v>325</v>
      </c>
      <c r="R42" s="76" t="s">
        <v>195</v>
      </c>
      <c r="S42" s="100" t="s">
        <v>406</v>
      </c>
      <c r="T42" s="100" t="s">
        <v>464</v>
      </c>
      <c r="U42" s="77" t="s">
        <v>328</v>
      </c>
      <c r="V42" s="77" t="s">
        <v>328</v>
      </c>
      <c r="W42" s="77" t="s">
        <v>195</v>
      </c>
      <c r="X42" s="77" t="s">
        <v>195</v>
      </c>
      <c r="Y42" s="77" t="s">
        <v>195</v>
      </c>
      <c r="Z42" s="77" t="s">
        <v>195</v>
      </c>
      <c r="AA42" s="77" t="s">
        <v>195</v>
      </c>
      <c r="AB42" s="77" t="s">
        <v>195</v>
      </c>
      <c r="AC42" s="138" t="s">
        <v>195</v>
      </c>
      <c r="AD42" s="142" t="s">
        <v>89</v>
      </c>
      <c r="AE42" s="142" t="s">
        <v>130</v>
      </c>
      <c r="AF42" s="136" t="s">
        <v>90</v>
      </c>
      <c r="AG42" s="77" t="s">
        <v>102</v>
      </c>
      <c r="AH42" s="136" t="str">
        <f t="shared" si="23"/>
        <v>MEDIO</v>
      </c>
      <c r="AI42" s="78" t="s">
        <v>115</v>
      </c>
      <c r="AJ42" s="77" t="s">
        <v>119</v>
      </c>
      <c r="AK42" s="136" t="s">
        <v>92</v>
      </c>
      <c r="AL42" s="80" t="str">
        <f>VLOOKUP($AD42,[5]Tipologías!$B$3:$G$17,2,FALSE)</f>
        <v>BAJO</v>
      </c>
      <c r="AM42" s="80">
        <f t="shared" si="2"/>
        <v>1</v>
      </c>
      <c r="AN42" s="80" t="str">
        <f>VLOOKUP($AE42,[5]Tipologías!$A$21:$C$24,3,FALSE)</f>
        <v>BAJO</v>
      </c>
      <c r="AO42" s="80">
        <f t="shared" si="3"/>
        <v>1</v>
      </c>
      <c r="AP42" s="80">
        <f>VLOOKUP($AI42,[5]Tipologías!$A$38:$B$42,2,FALSE)</f>
        <v>2</v>
      </c>
      <c r="AQ42" s="80">
        <f>VLOOKUP($AJ42,[5]Tipologías!$A$46:$B$53,2,FALSE)</f>
        <v>2</v>
      </c>
      <c r="AR42" s="80" t="str">
        <f>IF(MAX(AM42,AO42)=3,"ALTO",IF(MAX(AM42,AO42)=2,"MEDIO",IF(MAX(AM42,AO42)=1,"BAJO","  ")))</f>
        <v>BAJO</v>
      </c>
      <c r="AS42" s="80" t="str">
        <f>VLOOKUP($AG42,[5]Tipologías!$A$29:$C$33,3,FALSE)</f>
        <v>MEDIO</v>
      </c>
      <c r="AT42" s="80" t="str">
        <f>IF(SUM($AP42,$AQ42)&gt;=3,"ALTO",IF(SUM($AP42,$AQ42)&lt;2,"BAJO","MEDIO"))</f>
        <v>ALTO</v>
      </c>
      <c r="AU42" s="80" t="str">
        <f>_xlfn.IFNA(IF(AND(AR42="BAJO",AS42="BAJO",AT42="BAJO"),"BAJO",IF(AND(AR42="ALTO",AS42="ALTO",AT42="ALTO"),"ALTO",IF(COUNTIF(AR42:AT42,"ALTO")=2,"ALTO","MEDIO")))," ")</f>
        <v>MEDIO</v>
      </c>
      <c r="AV42" s="80" t="str">
        <f>_xlfn.IFNA(VLOOKUP(AD42,[5]Tipologías!$B$3:$G$17,4,0),"")</f>
        <v>INFORMACIÓN PÚBLICA</v>
      </c>
      <c r="AW42" s="80" t="str">
        <f>IF(AV42="INFORMACIÓN PÚBLICA","IPB",IF(AV42="INFORMACIÓN PÚBLICA CLASIFICADA","IPC",IF(AV42="INFORMACIÓN PÚBLICA RESERVADA","IPR",IF(AV42="",""))))</f>
        <v>IPB</v>
      </c>
      <c r="AX42" s="80" t="str">
        <f>_xlfn.IFNA(VLOOKUP(AD42,[5]Tipologías!$B$3:$G$17,3,0),"")</f>
        <v>LEY 1712 DE 2014 LEY DE TRANSPARENCIA Y DERECHO DE ACCESO A LA INFORMACIÓN. ARTÍCULO 6 DEFINICIONES LITERAL B.</v>
      </c>
      <c r="AY42" s="80" t="str">
        <f>_xlfn.IFNA(VLOOKUP(AD42,[5]Tipologías!$B$3:$G$17,5,0),"")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42" s="80" t="str">
        <f>_xlfn.IFNA(VLOOKUP(AD42,[5]Tipologías!$B$3:$G$17,6,0),"")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42" s="148" t="s">
        <v>198</v>
      </c>
      <c r="BB42" s="166">
        <v>45077</v>
      </c>
      <c r="BC42" s="148" t="s">
        <v>195</v>
      </c>
      <c r="BD42" s="146" t="s">
        <v>461</v>
      </c>
      <c r="BE42" s="146" t="s">
        <v>462</v>
      </c>
      <c r="BF42" s="45"/>
      <c r="BG42" s="45"/>
      <c r="BH42" s="45"/>
      <c r="BI42" s="45"/>
      <c r="BJ42" s="45"/>
      <c r="BK42" s="45"/>
      <c r="BL42" s="45"/>
      <c r="BM42" s="45"/>
      <c r="BN42" s="45"/>
      <c r="BO42" s="45"/>
      <c r="BP42" s="45"/>
      <c r="BQ42" s="45"/>
      <c r="BR42" s="45"/>
      <c r="BS42" s="45"/>
      <c r="BT42" s="45"/>
      <c r="BU42" s="45"/>
      <c r="BV42" s="45"/>
      <c r="BW42" s="45"/>
      <c r="BX42" s="45"/>
    </row>
    <row r="43" spans="1:76" s="67" customFormat="1" ht="207.75" customHeight="1" x14ac:dyDescent="0.2">
      <c r="A43" s="76">
        <v>34</v>
      </c>
      <c r="B43" s="117" t="s">
        <v>62</v>
      </c>
      <c r="C43" s="117" t="s">
        <v>308</v>
      </c>
      <c r="D43" s="120" t="s">
        <v>274</v>
      </c>
      <c r="E43" s="120" t="s">
        <v>465</v>
      </c>
      <c r="F43" s="118" t="s">
        <v>466</v>
      </c>
      <c r="G43" s="117" t="s">
        <v>140</v>
      </c>
      <c r="H43" s="118" t="s">
        <v>467</v>
      </c>
      <c r="I43" s="118" t="s">
        <v>468</v>
      </c>
      <c r="J43" s="151" t="s">
        <v>336</v>
      </c>
      <c r="K43" s="120" t="s">
        <v>320</v>
      </c>
      <c r="L43" s="118" t="s">
        <v>321</v>
      </c>
      <c r="M43" s="125" t="s">
        <v>195</v>
      </c>
      <c r="N43" s="118" t="s">
        <v>469</v>
      </c>
      <c r="O43" s="125" t="s">
        <v>144</v>
      </c>
      <c r="P43" s="120" t="s">
        <v>470</v>
      </c>
      <c r="Q43" s="119" t="s">
        <v>325</v>
      </c>
      <c r="R43" s="120" t="s">
        <v>195</v>
      </c>
      <c r="S43" s="120" t="s">
        <v>195</v>
      </c>
      <c r="T43" s="120" t="s">
        <v>195</v>
      </c>
      <c r="U43" s="121" t="s">
        <v>329</v>
      </c>
      <c r="V43" s="121" t="s">
        <v>195</v>
      </c>
      <c r="W43" s="121" t="s">
        <v>195</v>
      </c>
      <c r="X43" s="121" t="s">
        <v>195</v>
      </c>
      <c r="Y43" s="122" t="s">
        <v>195</v>
      </c>
      <c r="Z43" s="121" t="s">
        <v>195</v>
      </c>
      <c r="AA43" s="121" t="s">
        <v>195</v>
      </c>
      <c r="AB43" s="121" t="s">
        <v>195</v>
      </c>
      <c r="AC43" s="158" t="s">
        <v>195</v>
      </c>
      <c r="AD43" s="163" t="s">
        <v>216</v>
      </c>
      <c r="AE43" s="163" t="s">
        <v>134</v>
      </c>
      <c r="AF43" s="121" t="str">
        <f t="shared" ref="AF43:AF46" si="28">AR43</f>
        <v>ALTO</v>
      </c>
      <c r="AG43" s="121" t="s">
        <v>105</v>
      </c>
      <c r="AH43" s="136" t="str">
        <f t="shared" ref="AH43:AH46" si="29">_xlfn.IFNA((AS43),"")</f>
        <v>ALTO</v>
      </c>
      <c r="AI43" s="123" t="s">
        <v>115</v>
      </c>
      <c r="AJ43" s="121" t="s">
        <v>117</v>
      </c>
      <c r="AK43" s="121" t="s">
        <v>117</v>
      </c>
      <c r="AL43" s="124" t="str">
        <f>VLOOKUP($AD43,[6]Tipologías!$B$3:$G$17,2,FALSE)</f>
        <v>ALTO</v>
      </c>
      <c r="AM43" s="124">
        <f t="shared" si="2"/>
        <v>3</v>
      </c>
      <c r="AN43" s="124" t="str">
        <f>VLOOKUP($AE43,[6]Tipologías!$A$21:$C$24,3,FALSE)</f>
        <v>ALTO</v>
      </c>
      <c r="AO43" s="124">
        <f t="shared" si="3"/>
        <v>3</v>
      </c>
      <c r="AP43" s="124">
        <f>VLOOKUP($AI43,[6]Tipologías!$A$38:$B$42,2,FALSE)</f>
        <v>2</v>
      </c>
      <c r="AQ43" s="124">
        <f>VLOOKUP($AJ43,[6]Tipologías!$A$46:$B$53,2,FALSE)</f>
        <v>2.5</v>
      </c>
      <c r="AR43" s="124" t="str">
        <f t="shared" ref="AR43:AR46" si="30">IF(MAX(AM43,AO43)=3,"ALTO",IF(MAX(AM43,AO43)=2,"MEDIO",IF(MAX(AM43,AO43)=1,"BAJO","  ")))</f>
        <v>ALTO</v>
      </c>
      <c r="AS43" s="124" t="str">
        <f>VLOOKUP($AG43,[6]Tipologías!$A$29:$C$33,3,FALSE)</f>
        <v>ALTO</v>
      </c>
      <c r="AT43" s="124" t="str">
        <f t="shared" ref="AT43:AT46" si="31">IF(SUM($AP43,$AQ43)&gt;=3,"ALTO",IF(SUM($AP43,$AQ43)&lt;2,"BAJO","MEDIO"))</f>
        <v>ALTO</v>
      </c>
      <c r="AU43" s="80" t="str">
        <f t="shared" ref="AU43:AU46" si="32">_xlfn.IFNA(IF(AND(AR43="BAJO",AS43="BAJO",AT43="BAJO"),"BAJO",IF(AND(AR43="ALTO",AS43="ALTO",AT43="ALTO"),"ALTO",IF(COUNTIF(AR43:AT43,"ALTO")=2,"ALTO","MEDIO")))," ")</f>
        <v>ALTO</v>
      </c>
      <c r="AV43" s="80" t="str">
        <f>_xlfn.IFNA(VLOOKUP(AD43,[1]Tipologías!$B$3:$G$17,4,0),"")</f>
        <v>INFORMACIÓN PÚBLICA RESERVADA</v>
      </c>
      <c r="AW43" s="124" t="str">
        <f t="shared" ref="AW43:AW46" si="33">IF(AV43="INFORMACIÓN PÚBLICA","IPB",IF(AV43="INFORMACIÓN PÚBLICA CLASIFICADA","IPC",IF(AV43="INFORMACIÓN PÚBLICA RESERVADA","IPR",IF(AV43="",""))))</f>
        <v>IPR</v>
      </c>
      <c r="AX43" s="80" t="str">
        <f>_xlfn.IFNA(VLOOKUP(AD43,[1]Tipologías!$B$3:$G$17,3,0),"")</f>
        <v>LEY 1712   DE 2014 ARTÍCULO 19 LITERAL H "LA ESTABILIDAD MACROECONÓMICA Y FINANCIERA DEL PAÍS."</v>
      </c>
      <c r="AY43" s="80" t="str">
        <f>_xlfn.IFNA(VLOOKUP(AD43,[1]Tipologías!$B$3:$G$17,5,0),"")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43" s="80" t="str">
        <f>_xlfn.IFNA(VLOOKUP(AD43,[1]Tipologías!$B$3:$G$17,6,0),"")</f>
        <v xml:space="preserve">LEY 1712 DE 2014 ARTÍCULO 19  </v>
      </c>
      <c r="BA43" s="168" t="s">
        <v>197</v>
      </c>
      <c r="BB43" s="169">
        <v>45133</v>
      </c>
      <c r="BC43" s="168" t="s">
        <v>195</v>
      </c>
      <c r="BD43" s="170" t="s">
        <v>471</v>
      </c>
      <c r="BE43" s="170" t="s">
        <v>472</v>
      </c>
      <c r="BF43" s="45"/>
      <c r="BG43" s="45"/>
      <c r="BH43" s="45"/>
      <c r="BI43" s="45"/>
      <c r="BJ43" s="45"/>
      <c r="BK43" s="45"/>
      <c r="BL43" s="45"/>
      <c r="BM43" s="45"/>
      <c r="BN43" s="45"/>
      <c r="BO43" s="45"/>
      <c r="BP43" s="45"/>
      <c r="BQ43" s="45"/>
      <c r="BR43" s="45"/>
      <c r="BS43" s="45"/>
      <c r="BT43" s="45"/>
      <c r="BU43" s="45"/>
      <c r="BV43" s="45"/>
      <c r="BW43" s="45"/>
      <c r="BX43" s="45"/>
    </row>
    <row r="44" spans="1:76" s="67" customFormat="1" ht="207.75" customHeight="1" x14ac:dyDescent="0.2">
      <c r="A44" s="76">
        <v>35</v>
      </c>
      <c r="B44" s="117" t="s">
        <v>62</v>
      </c>
      <c r="C44" s="117" t="s">
        <v>308</v>
      </c>
      <c r="D44" s="120" t="s">
        <v>274</v>
      </c>
      <c r="E44" s="120" t="s">
        <v>473</v>
      </c>
      <c r="F44" s="118" t="s">
        <v>474</v>
      </c>
      <c r="G44" s="117" t="s">
        <v>205</v>
      </c>
      <c r="H44" s="118" t="s">
        <v>467</v>
      </c>
      <c r="I44" s="118" t="s">
        <v>468</v>
      </c>
      <c r="J44" s="151" t="s">
        <v>336</v>
      </c>
      <c r="K44" s="120" t="s">
        <v>320</v>
      </c>
      <c r="L44" s="118" t="s">
        <v>321</v>
      </c>
      <c r="M44" s="125" t="s">
        <v>195</v>
      </c>
      <c r="N44" s="118" t="s">
        <v>469</v>
      </c>
      <c r="O44" s="125" t="s">
        <v>144</v>
      </c>
      <c r="P44" s="120" t="s">
        <v>470</v>
      </c>
      <c r="Q44" s="119" t="s">
        <v>325</v>
      </c>
      <c r="R44" s="120" t="s">
        <v>325</v>
      </c>
      <c r="S44" s="120" t="s">
        <v>195</v>
      </c>
      <c r="T44" s="120" t="s">
        <v>195</v>
      </c>
      <c r="U44" s="121" t="s">
        <v>328</v>
      </c>
      <c r="V44" s="121" t="s">
        <v>328</v>
      </c>
      <c r="W44" s="121" t="s">
        <v>328</v>
      </c>
      <c r="X44" s="121" t="s">
        <v>328</v>
      </c>
      <c r="Y44" s="121" t="s">
        <v>329</v>
      </c>
      <c r="Z44" s="121" t="s">
        <v>329</v>
      </c>
      <c r="AA44" s="121" t="s">
        <v>195</v>
      </c>
      <c r="AB44" s="121" t="s">
        <v>195</v>
      </c>
      <c r="AC44" s="158" t="s">
        <v>195</v>
      </c>
      <c r="AD44" s="163" t="s">
        <v>216</v>
      </c>
      <c r="AE44" s="163" t="s">
        <v>134</v>
      </c>
      <c r="AF44" s="121" t="str">
        <f t="shared" si="28"/>
        <v>ALTO</v>
      </c>
      <c r="AG44" s="121" t="s">
        <v>104</v>
      </c>
      <c r="AH44" s="136" t="str">
        <f t="shared" si="29"/>
        <v>ALTO</v>
      </c>
      <c r="AI44" s="123" t="s">
        <v>114</v>
      </c>
      <c r="AJ44" s="121" t="s">
        <v>119</v>
      </c>
      <c r="AK44" s="121" t="s">
        <v>119</v>
      </c>
      <c r="AL44" s="124" t="str">
        <f>VLOOKUP($AD44,[6]Tipologías!$B$3:$G$17,2,FALSE)</f>
        <v>ALTO</v>
      </c>
      <c r="AM44" s="124">
        <f t="shared" si="2"/>
        <v>3</v>
      </c>
      <c r="AN44" s="124" t="str">
        <f>VLOOKUP($AE44,[6]Tipologías!$A$21:$C$24,3,FALSE)</f>
        <v>ALTO</v>
      </c>
      <c r="AO44" s="124">
        <f t="shared" si="3"/>
        <v>3</v>
      </c>
      <c r="AP44" s="124">
        <f>VLOOKUP($AI44,[6]Tipologías!$A$38:$B$42,2,FALSE)</f>
        <v>1.5</v>
      </c>
      <c r="AQ44" s="124">
        <f>VLOOKUP($AJ44,[6]Tipologías!$A$46:$B$53,2,FALSE)</f>
        <v>2</v>
      </c>
      <c r="AR44" s="124" t="str">
        <f t="shared" si="30"/>
        <v>ALTO</v>
      </c>
      <c r="AS44" s="124" t="str">
        <f>VLOOKUP($AG44,[6]Tipologías!$A$29:$C$33,3,FALSE)</f>
        <v>ALTO</v>
      </c>
      <c r="AT44" s="124" t="str">
        <f t="shared" si="31"/>
        <v>ALTO</v>
      </c>
      <c r="AU44" s="80" t="str">
        <f t="shared" si="32"/>
        <v>ALTO</v>
      </c>
      <c r="AV44" s="80" t="str">
        <f>_xlfn.IFNA(VLOOKUP(AD44,[1]Tipologías!$B$3:$G$17,4,0),"")</f>
        <v>INFORMACIÓN PÚBLICA RESERVADA</v>
      </c>
      <c r="AW44" s="124" t="str">
        <f t="shared" si="33"/>
        <v>IPR</v>
      </c>
      <c r="AX44" s="80" t="str">
        <f>_xlfn.IFNA(VLOOKUP(AD44,[1]Tipologías!$B$3:$G$17,3,0),"")</f>
        <v>LEY 1712   DE 2014 ARTÍCULO 19 LITERAL H "LA ESTABILIDAD MACROECONÓMICA Y FINANCIERA DEL PAÍS."</v>
      </c>
      <c r="AY44" s="80" t="str">
        <f>_xlfn.IFNA(VLOOKUP(AD44,[1]Tipologías!$B$3:$G$17,5,0),"")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44" s="80" t="str">
        <f>_xlfn.IFNA(VLOOKUP(AD44,[1]Tipologías!$B$3:$G$17,6,0),"")</f>
        <v xml:space="preserve">LEY 1712 DE 2014 ARTÍCULO 19  </v>
      </c>
      <c r="BA44" s="168" t="s">
        <v>197</v>
      </c>
      <c r="BB44" s="169">
        <v>45133</v>
      </c>
      <c r="BC44" s="168" t="s">
        <v>230</v>
      </c>
      <c r="BD44" s="170" t="s">
        <v>471</v>
      </c>
      <c r="BE44" s="170" t="s">
        <v>472</v>
      </c>
      <c r="BF44" s="45"/>
      <c r="BG44" s="45"/>
      <c r="BH44" s="45"/>
      <c r="BI44" s="45"/>
      <c r="BJ44" s="45"/>
      <c r="BK44" s="45"/>
      <c r="BL44" s="45"/>
      <c r="BM44" s="45"/>
      <c r="BN44" s="45"/>
      <c r="BO44" s="45"/>
      <c r="BP44" s="45"/>
      <c r="BQ44" s="45"/>
      <c r="BR44" s="45"/>
      <c r="BS44" s="45"/>
      <c r="BT44" s="45"/>
      <c r="BU44" s="45"/>
      <c r="BV44" s="45"/>
      <c r="BW44" s="45"/>
      <c r="BX44" s="45"/>
    </row>
    <row r="45" spans="1:76" s="67" customFormat="1" ht="207.75" customHeight="1" x14ac:dyDescent="0.2">
      <c r="A45" s="76">
        <v>36</v>
      </c>
      <c r="B45" s="117" t="s">
        <v>62</v>
      </c>
      <c r="C45" s="117" t="s">
        <v>308</v>
      </c>
      <c r="D45" s="120" t="s">
        <v>274</v>
      </c>
      <c r="E45" s="120" t="s">
        <v>475</v>
      </c>
      <c r="F45" s="118" t="s">
        <v>476</v>
      </c>
      <c r="G45" s="117" t="s">
        <v>140</v>
      </c>
      <c r="H45" s="118" t="s">
        <v>467</v>
      </c>
      <c r="I45" s="118" t="s">
        <v>468</v>
      </c>
      <c r="J45" s="151" t="s">
        <v>336</v>
      </c>
      <c r="K45" s="120" t="s">
        <v>320</v>
      </c>
      <c r="L45" s="118" t="s">
        <v>321</v>
      </c>
      <c r="M45" s="125" t="s">
        <v>195</v>
      </c>
      <c r="N45" s="118" t="s">
        <v>469</v>
      </c>
      <c r="O45" s="125" t="s">
        <v>144</v>
      </c>
      <c r="P45" s="120" t="s">
        <v>477</v>
      </c>
      <c r="Q45" s="119" t="s">
        <v>325</v>
      </c>
      <c r="R45" s="119" t="s">
        <v>195</v>
      </c>
      <c r="S45" s="119" t="s">
        <v>195</v>
      </c>
      <c r="T45" s="119" t="s">
        <v>195</v>
      </c>
      <c r="U45" s="121" t="s">
        <v>195</v>
      </c>
      <c r="V45" s="121" t="s">
        <v>195</v>
      </c>
      <c r="W45" s="121" t="s">
        <v>195</v>
      </c>
      <c r="X45" s="121" t="s">
        <v>195</v>
      </c>
      <c r="Y45" s="121" t="s">
        <v>195</v>
      </c>
      <c r="Z45" s="121" t="s">
        <v>195</v>
      </c>
      <c r="AA45" s="121" t="s">
        <v>195</v>
      </c>
      <c r="AB45" s="121" t="s">
        <v>195</v>
      </c>
      <c r="AC45" s="121" t="s">
        <v>195</v>
      </c>
      <c r="AD45" s="163" t="s">
        <v>216</v>
      </c>
      <c r="AE45" s="163" t="s">
        <v>134</v>
      </c>
      <c r="AF45" s="121" t="str">
        <f t="shared" si="28"/>
        <v>ALTO</v>
      </c>
      <c r="AG45" s="121" t="s">
        <v>104</v>
      </c>
      <c r="AH45" s="136" t="str">
        <f t="shared" si="29"/>
        <v>ALTO</v>
      </c>
      <c r="AI45" s="123" t="s">
        <v>114</v>
      </c>
      <c r="AJ45" s="121" t="s">
        <v>119</v>
      </c>
      <c r="AK45" s="121" t="s">
        <v>119</v>
      </c>
      <c r="AL45" s="124" t="str">
        <f>VLOOKUP($AD45,[6]Tipologías!$B$3:$G$17,2,FALSE)</f>
        <v>ALTO</v>
      </c>
      <c r="AM45" s="124">
        <f t="shared" si="2"/>
        <v>3</v>
      </c>
      <c r="AN45" s="124" t="str">
        <f>VLOOKUP($AE45,[6]Tipologías!$A$21:$C$24,3,FALSE)</f>
        <v>ALTO</v>
      </c>
      <c r="AO45" s="124">
        <f t="shared" si="3"/>
        <v>3</v>
      </c>
      <c r="AP45" s="124">
        <f>VLOOKUP($AI45,[6]Tipologías!$A$38:$B$42,2,FALSE)</f>
        <v>1.5</v>
      </c>
      <c r="AQ45" s="124">
        <f>VLOOKUP($AJ45,[6]Tipologías!$A$46:$B$53,2,FALSE)</f>
        <v>2</v>
      </c>
      <c r="AR45" s="124" t="str">
        <f t="shared" si="30"/>
        <v>ALTO</v>
      </c>
      <c r="AS45" s="124" t="str">
        <f>VLOOKUP($AG45,[6]Tipologías!$A$29:$C$33,3,FALSE)</f>
        <v>ALTO</v>
      </c>
      <c r="AT45" s="124" t="str">
        <f t="shared" si="31"/>
        <v>ALTO</v>
      </c>
      <c r="AU45" s="80" t="str">
        <f t="shared" si="32"/>
        <v>ALTO</v>
      </c>
      <c r="AV45" s="80" t="str">
        <f>_xlfn.IFNA(VLOOKUP(AD45,[1]Tipologías!$B$3:$G$17,4,0),"")</f>
        <v>INFORMACIÓN PÚBLICA RESERVADA</v>
      </c>
      <c r="AW45" s="124" t="str">
        <f t="shared" si="33"/>
        <v>IPR</v>
      </c>
      <c r="AX45" s="80" t="str">
        <f>_xlfn.IFNA(VLOOKUP(AD45,[1]Tipologías!$B$3:$G$17,3,0),"")</f>
        <v>LEY 1712   DE 2014 ARTÍCULO 19 LITERAL H "LA ESTABILIDAD MACROECONÓMICA Y FINANCIERA DEL PAÍS."</v>
      </c>
      <c r="AY45" s="80" t="str">
        <f>_xlfn.IFNA(VLOOKUP(AD45,[1]Tipologías!$B$3:$G$17,5,0),"")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45" s="80" t="str">
        <f>_xlfn.IFNA(VLOOKUP(AD45,[1]Tipologías!$B$3:$G$17,6,0),"")</f>
        <v xml:space="preserve">LEY 1712 DE 2014 ARTÍCULO 19  </v>
      </c>
      <c r="BA45" s="168" t="s">
        <v>197</v>
      </c>
      <c r="BB45" s="169">
        <v>45133</v>
      </c>
      <c r="BC45" s="168" t="s">
        <v>195</v>
      </c>
      <c r="BD45" s="170" t="s">
        <v>478</v>
      </c>
      <c r="BE45" s="170" t="s">
        <v>472</v>
      </c>
      <c r="BF45" s="45"/>
      <c r="BG45" s="45"/>
      <c r="BH45" s="45"/>
      <c r="BI45" s="45"/>
      <c r="BJ45" s="45"/>
      <c r="BK45" s="45"/>
      <c r="BL45" s="45"/>
      <c r="BM45" s="45"/>
      <c r="BN45" s="45"/>
      <c r="BO45" s="45"/>
      <c r="BP45" s="45"/>
      <c r="BQ45" s="45"/>
      <c r="BR45" s="45"/>
      <c r="BS45" s="45"/>
      <c r="BT45" s="45"/>
      <c r="BU45" s="45"/>
      <c r="BV45" s="45"/>
      <c r="BW45" s="45"/>
      <c r="BX45" s="45"/>
    </row>
    <row r="46" spans="1:76" s="68" customFormat="1" ht="207.75" customHeight="1" x14ac:dyDescent="0.2">
      <c r="A46" s="76">
        <v>37</v>
      </c>
      <c r="B46" s="117" t="s">
        <v>62</v>
      </c>
      <c r="C46" s="117" t="s">
        <v>308</v>
      </c>
      <c r="D46" s="120" t="s">
        <v>274</v>
      </c>
      <c r="E46" s="120" t="s">
        <v>479</v>
      </c>
      <c r="F46" s="118" t="s">
        <v>480</v>
      </c>
      <c r="G46" s="117" t="s">
        <v>174</v>
      </c>
      <c r="H46" s="118" t="s">
        <v>467</v>
      </c>
      <c r="I46" s="118" t="s">
        <v>481</v>
      </c>
      <c r="J46" s="151" t="s">
        <v>336</v>
      </c>
      <c r="K46" s="120" t="s">
        <v>320</v>
      </c>
      <c r="L46" s="118" t="s">
        <v>321</v>
      </c>
      <c r="M46" s="118" t="s">
        <v>482</v>
      </c>
      <c r="N46" s="118" t="s">
        <v>483</v>
      </c>
      <c r="O46" s="125" t="s">
        <v>151</v>
      </c>
      <c r="P46" s="120" t="s">
        <v>470</v>
      </c>
      <c r="Q46" s="119" t="s">
        <v>325</v>
      </c>
      <c r="R46" s="119" t="s">
        <v>325</v>
      </c>
      <c r="S46" s="119" t="s">
        <v>195</v>
      </c>
      <c r="T46" s="119" t="s">
        <v>195</v>
      </c>
      <c r="U46" s="121" t="s">
        <v>328</v>
      </c>
      <c r="V46" s="121" t="s">
        <v>328</v>
      </c>
      <c r="W46" s="121" t="s">
        <v>328</v>
      </c>
      <c r="X46" s="121" t="s">
        <v>328</v>
      </c>
      <c r="Y46" s="121" t="s">
        <v>329</v>
      </c>
      <c r="Z46" s="121" t="s">
        <v>329</v>
      </c>
      <c r="AA46" s="121" t="s">
        <v>195</v>
      </c>
      <c r="AB46" s="121" t="s">
        <v>195</v>
      </c>
      <c r="AC46" s="121" t="s">
        <v>195</v>
      </c>
      <c r="AD46" s="163" t="s">
        <v>206</v>
      </c>
      <c r="AE46" s="163" t="s">
        <v>132</v>
      </c>
      <c r="AF46" s="121" t="str">
        <f t="shared" si="28"/>
        <v>ALTO</v>
      </c>
      <c r="AG46" s="121" t="s">
        <v>105</v>
      </c>
      <c r="AH46" s="136" t="str">
        <f t="shared" si="29"/>
        <v>ALTO</v>
      </c>
      <c r="AI46" s="123" t="s">
        <v>115</v>
      </c>
      <c r="AJ46" s="121" t="s">
        <v>117</v>
      </c>
      <c r="AK46" s="121" t="e">
        <f t="shared" ref="AK46" ca="1" si="34">_xludf.IFNA((AT46),"")</f>
        <v>#NAME?</v>
      </c>
      <c r="AL46" s="124" t="str">
        <f>VLOOKUP($AD46,[6]Tipologías!$B$3:$G$17,2,FALSE)</f>
        <v>ALTO</v>
      </c>
      <c r="AM46" s="124">
        <f t="shared" si="2"/>
        <v>3</v>
      </c>
      <c r="AN46" s="124" t="str">
        <f>VLOOKUP($AE46,[6]Tipologías!$A$21:$C$24,3,FALSE)</f>
        <v>MEDIO</v>
      </c>
      <c r="AO46" s="124">
        <f t="shared" si="3"/>
        <v>2</v>
      </c>
      <c r="AP46" s="124">
        <f>VLOOKUP($AI46,[6]Tipologías!$A$38:$B$42,2,FALSE)</f>
        <v>2</v>
      </c>
      <c r="AQ46" s="124">
        <f>VLOOKUP($AJ46,[6]Tipologías!$A$46:$B$53,2,FALSE)</f>
        <v>2.5</v>
      </c>
      <c r="AR46" s="124" t="str">
        <f t="shared" si="30"/>
        <v>ALTO</v>
      </c>
      <c r="AS46" s="124" t="str">
        <f>VLOOKUP($AG46,[6]Tipologías!$A$29:$C$33,3,FALSE)</f>
        <v>ALTO</v>
      </c>
      <c r="AT46" s="124" t="str">
        <f t="shared" si="31"/>
        <v>ALTO</v>
      </c>
      <c r="AU46" s="80" t="str">
        <f t="shared" si="32"/>
        <v>ALTO</v>
      </c>
      <c r="AV46" s="80" t="str">
        <f>_xlfn.IFNA(VLOOKUP(AD46,[1]Tipologías!$B$3:$G$17,4,0),"")</f>
        <v>INFORMACIÓN PÚBLICA CLASIFICADA</v>
      </c>
      <c r="AW46" s="124" t="str">
        <f t="shared" si="33"/>
        <v>IPC</v>
      </c>
      <c r="AX46" s="80" t="str">
        <f>_xlfn.IFNA(VLOOKUP(AD46,[1]Tipologías!$B$3:$G$17,3,0),"")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46" s="80" t="str">
        <f>_xlfn.IFNA(VLOOKUP(AD46,[1]Tipologías!$B$3:$G$17,5,0),"")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46" s="80" t="str">
        <f>_xlfn.IFNA(VLOOKUP(AD46,[1]Tipologías!$B$3:$G$17,6,0),"")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46" s="168" t="s">
        <v>196</v>
      </c>
      <c r="BB46" s="169">
        <v>45133</v>
      </c>
      <c r="BC46" s="168" t="s">
        <v>201</v>
      </c>
      <c r="BD46" s="170" t="s">
        <v>484</v>
      </c>
      <c r="BE46" s="170" t="s">
        <v>472</v>
      </c>
      <c r="BF46" s="45"/>
      <c r="BG46" s="45"/>
      <c r="BH46" s="45"/>
      <c r="BI46" s="45"/>
      <c r="BJ46" s="45"/>
      <c r="BK46" s="45"/>
      <c r="BL46" s="45"/>
      <c r="BM46" s="45"/>
      <c r="BN46" s="45"/>
      <c r="BO46" s="45"/>
      <c r="BP46" s="45"/>
      <c r="BQ46" s="45"/>
      <c r="BR46" s="45"/>
      <c r="BS46" s="45"/>
      <c r="BT46" s="45"/>
      <c r="BU46" s="45"/>
      <c r="BV46" s="45"/>
      <c r="BW46" s="45"/>
      <c r="BX46" s="45"/>
    </row>
    <row r="47" spans="1:76" s="67" customFormat="1" ht="207.75" customHeight="1" x14ac:dyDescent="0.2">
      <c r="A47" s="76">
        <v>38</v>
      </c>
      <c r="B47" s="74" t="s">
        <v>62</v>
      </c>
      <c r="C47" s="74" t="s">
        <v>312</v>
      </c>
      <c r="D47" s="100" t="s">
        <v>269</v>
      </c>
      <c r="E47" s="100" t="s">
        <v>485</v>
      </c>
      <c r="F47" s="75" t="s">
        <v>486</v>
      </c>
      <c r="G47" s="74" t="s">
        <v>174</v>
      </c>
      <c r="H47" s="75" t="s">
        <v>487</v>
      </c>
      <c r="I47" s="75" t="s">
        <v>488</v>
      </c>
      <c r="J47" s="107" t="s">
        <v>336</v>
      </c>
      <c r="K47" s="100" t="s">
        <v>320</v>
      </c>
      <c r="L47" s="75" t="s">
        <v>321</v>
      </c>
      <c r="M47" s="116" t="s">
        <v>195</v>
      </c>
      <c r="N47" s="75" t="s">
        <v>489</v>
      </c>
      <c r="O47" s="116" t="s">
        <v>151</v>
      </c>
      <c r="P47" s="100" t="s">
        <v>338</v>
      </c>
      <c r="Q47" s="76" t="s">
        <v>325</v>
      </c>
      <c r="R47" s="76" t="s">
        <v>325</v>
      </c>
      <c r="S47" s="100" t="s">
        <v>195</v>
      </c>
      <c r="T47" s="100" t="s">
        <v>195</v>
      </c>
      <c r="U47" s="77" t="s">
        <v>328</v>
      </c>
      <c r="V47" s="77" t="s">
        <v>328</v>
      </c>
      <c r="W47" s="77" t="s">
        <v>328</v>
      </c>
      <c r="X47" s="77" t="s">
        <v>328</v>
      </c>
      <c r="Y47" s="77" t="s">
        <v>329</v>
      </c>
      <c r="Z47" s="77" t="s">
        <v>329</v>
      </c>
      <c r="AA47" s="77" t="s">
        <v>195</v>
      </c>
      <c r="AB47" s="77" t="s">
        <v>195</v>
      </c>
      <c r="AC47" s="138" t="s">
        <v>195</v>
      </c>
      <c r="AD47" s="142" t="s">
        <v>206</v>
      </c>
      <c r="AE47" s="142" t="s">
        <v>134</v>
      </c>
      <c r="AF47" s="136" t="str">
        <f t="shared" ref="AF47:AF53" si="35">AR47</f>
        <v>ALTO</v>
      </c>
      <c r="AG47" s="77" t="s">
        <v>102</v>
      </c>
      <c r="AH47" s="136" t="str">
        <f t="shared" ref="AH47:AH52" si="36">_xlfn.IFNA((AS47),"")</f>
        <v>MEDIO</v>
      </c>
      <c r="AI47" s="78" t="s">
        <v>111</v>
      </c>
      <c r="AJ47" s="77" t="s">
        <v>121</v>
      </c>
      <c r="AK47" s="136" t="str">
        <f t="shared" ref="AK47:AK52" si="37">_xlfn.IFNA((AT47),"")</f>
        <v>BAJO</v>
      </c>
      <c r="AL47" s="80" t="str">
        <f>VLOOKUP($AD47,[7]Tipologías!$B$3:$G$17,2,FALSE)</f>
        <v>ALTO</v>
      </c>
      <c r="AM47" s="80">
        <f t="shared" si="2"/>
        <v>3</v>
      </c>
      <c r="AN47" s="80" t="str">
        <f>VLOOKUP($AE47,[7]Tipologías!$A$21:$C$24,3,FALSE)</f>
        <v>ALTO</v>
      </c>
      <c r="AO47" s="80">
        <f t="shared" si="3"/>
        <v>3</v>
      </c>
      <c r="AP47" s="80">
        <f>VLOOKUP($AI47,[7]Tipologías!$A$38:$B$42,2,FALSE)</f>
        <v>0.5</v>
      </c>
      <c r="AQ47" s="80">
        <f>VLOOKUP($AJ47,[7]Tipologías!$A$46:$B$53,2,FALSE)</f>
        <v>1.25</v>
      </c>
      <c r="AR47" s="80" t="str">
        <f>IF(MAX(AM47,AO47)=3,"ALTO",IF(MAX(AM47,AO47)=2,"MEDIO",IF(MAX(AM47,AO47)=1,"BAJO","  ")))</f>
        <v>ALTO</v>
      </c>
      <c r="AS47" s="80" t="str">
        <f>VLOOKUP($AG47,[7]Tipologías!$A$29:$C$33,3,FALSE)</f>
        <v>MEDIO</v>
      </c>
      <c r="AT47" s="80" t="str">
        <f>IF(SUM($AP47,$AQ47)&gt;=3,"ALTO",IF(SUM($AP47,$AQ47)&lt;2,"BAJO","MEDIO"))</f>
        <v>BAJO</v>
      </c>
      <c r="AU47" s="80" t="str">
        <f>_xlfn.IFNA(IF(AND(AR47="BAJO",AS47="BAJO",AT47="BAJO"),"BAJO",IF(AND(AR47="ALTO",AS47="ALTO",AT47="ALTO"),"ALTO",IF(COUNTIF(AR47:AT47,"ALTO")=2,"ALTO","MEDIO")))," ")</f>
        <v>MEDIO</v>
      </c>
      <c r="AV47" s="80" t="str">
        <f>_xlfn.IFNA(VLOOKUP(AD47,[7]Tipologías!$B$3:$G$17,4,0),"")</f>
        <v>INFORMACIÓN PÚBLICA CLASIFICADA</v>
      </c>
      <c r="AW47" s="80" t="str">
        <f>IF(AV47="INFORMACIÓN PÚBLICA","IPB",IF(AV47="INFORMACIÓN PÚBLICA CLASIFICADA","IPC",IF(AV47="INFORMACIÓN PÚBLICA RESERVADA","IPR",IF(AV47="",""))))</f>
        <v>IPC</v>
      </c>
      <c r="AX47" s="80" t="str">
        <f>_xlfn.IFNA(VLOOKUP(AD47,[7]Tipologías!$B$3:$G$17,3,0),"")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47" s="80" t="str">
        <f>_xlfn.IFNA(VLOOKUP(AD47,[7]Tipologías!$B$3:$G$17,5,0),"")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47" s="80" t="str">
        <f>_xlfn.IFNA(VLOOKUP(AD47,[7]Tipologías!$B$3:$G$17,6,0),"")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47" s="148" t="s">
        <v>197</v>
      </c>
      <c r="BB47" s="166">
        <v>45105</v>
      </c>
      <c r="BC47" s="148" t="s">
        <v>224</v>
      </c>
      <c r="BD47" s="146" t="s">
        <v>490</v>
      </c>
      <c r="BE47" s="146" t="s">
        <v>491</v>
      </c>
      <c r="BF47" s="45"/>
      <c r="BG47" s="45"/>
      <c r="BH47" s="45"/>
      <c r="BI47" s="45"/>
      <c r="BJ47" s="45"/>
      <c r="BK47" s="45"/>
      <c r="BL47" s="45"/>
      <c r="BM47" s="45"/>
      <c r="BN47" s="45"/>
      <c r="BO47" s="45"/>
      <c r="BP47" s="45"/>
      <c r="BQ47" s="45"/>
      <c r="BR47" s="45"/>
      <c r="BS47" s="45"/>
      <c r="BT47" s="45"/>
      <c r="BU47" s="45"/>
      <c r="BV47" s="45"/>
      <c r="BW47" s="45"/>
      <c r="BX47" s="45"/>
    </row>
    <row r="48" spans="1:76" s="68" customFormat="1" ht="207.75" customHeight="1" x14ac:dyDescent="0.2">
      <c r="A48" s="76">
        <v>39</v>
      </c>
      <c r="B48" s="74" t="s">
        <v>62</v>
      </c>
      <c r="C48" s="74" t="s">
        <v>312</v>
      </c>
      <c r="D48" s="100" t="s">
        <v>269</v>
      </c>
      <c r="E48" s="100" t="s">
        <v>485</v>
      </c>
      <c r="F48" s="75" t="s">
        <v>492</v>
      </c>
      <c r="G48" s="74" t="s">
        <v>205</v>
      </c>
      <c r="H48" s="75" t="s">
        <v>487</v>
      </c>
      <c r="I48" s="75" t="s">
        <v>488</v>
      </c>
      <c r="J48" s="107" t="s">
        <v>336</v>
      </c>
      <c r="K48" s="100" t="s">
        <v>320</v>
      </c>
      <c r="L48" s="75" t="s">
        <v>321</v>
      </c>
      <c r="M48" s="116" t="s">
        <v>195</v>
      </c>
      <c r="N48" s="75" t="s">
        <v>489</v>
      </c>
      <c r="O48" s="116" t="s">
        <v>151</v>
      </c>
      <c r="P48" s="100" t="s">
        <v>338</v>
      </c>
      <c r="Q48" s="76" t="s">
        <v>325</v>
      </c>
      <c r="R48" s="76" t="s">
        <v>325</v>
      </c>
      <c r="S48" s="100" t="s">
        <v>195</v>
      </c>
      <c r="T48" s="100" t="s">
        <v>195</v>
      </c>
      <c r="U48" s="77" t="s">
        <v>328</v>
      </c>
      <c r="V48" s="77" t="s">
        <v>328</v>
      </c>
      <c r="W48" s="77" t="s">
        <v>328</v>
      </c>
      <c r="X48" s="77" t="s">
        <v>329</v>
      </c>
      <c r="Y48" s="77" t="s">
        <v>329</v>
      </c>
      <c r="Z48" s="77" t="s">
        <v>329</v>
      </c>
      <c r="AA48" s="77" t="s">
        <v>195</v>
      </c>
      <c r="AB48" s="77" t="s">
        <v>195</v>
      </c>
      <c r="AC48" s="138" t="s">
        <v>195</v>
      </c>
      <c r="AD48" s="142" t="s">
        <v>89</v>
      </c>
      <c r="AE48" s="142" t="s">
        <v>130</v>
      </c>
      <c r="AF48" s="136" t="str">
        <f t="shared" si="35"/>
        <v>BAJO</v>
      </c>
      <c r="AG48" s="77" t="s">
        <v>102</v>
      </c>
      <c r="AH48" s="136" t="str">
        <f t="shared" si="36"/>
        <v>MEDIO</v>
      </c>
      <c r="AI48" s="78" t="s">
        <v>111</v>
      </c>
      <c r="AJ48" s="77" t="s">
        <v>121</v>
      </c>
      <c r="AK48" s="136" t="str">
        <f t="shared" si="37"/>
        <v>BAJO</v>
      </c>
      <c r="AL48" s="80" t="str">
        <f>VLOOKUP($AD48,[7]Tipologías!$B$3:$G$17,2,FALSE)</f>
        <v>BAJO</v>
      </c>
      <c r="AM48" s="80">
        <f t="shared" si="2"/>
        <v>1</v>
      </c>
      <c r="AN48" s="80" t="str">
        <f>VLOOKUP($AE48,[7]Tipologías!$A$21:$C$24,3,FALSE)</f>
        <v>BAJO</v>
      </c>
      <c r="AO48" s="80">
        <f t="shared" si="3"/>
        <v>1</v>
      </c>
      <c r="AP48" s="80">
        <f>VLOOKUP($AI48,[7]Tipologías!$A$38:$B$42,2,FALSE)</f>
        <v>0.5</v>
      </c>
      <c r="AQ48" s="80">
        <f>VLOOKUP($AJ48,[7]Tipologías!$A$46:$B$53,2,FALSE)</f>
        <v>1.25</v>
      </c>
      <c r="AR48" s="80" t="str">
        <f>IF(MAX(AM48,AO48)=3,"ALTO",IF(MAX(AM48,AO48)=2,"MEDIO",IF(MAX(AM48,AO48)=1,"BAJO","  ")))</f>
        <v>BAJO</v>
      </c>
      <c r="AS48" s="80" t="str">
        <f>VLOOKUP($AG48,[7]Tipologías!$A$29:$C$33,3,FALSE)</f>
        <v>MEDIO</v>
      </c>
      <c r="AT48" s="80" t="str">
        <f>IF(SUM($AP48,$AQ48)&gt;=3,"ALTO",IF(SUM($AP48,$AQ48)&lt;2,"BAJO","MEDIO"))</f>
        <v>BAJO</v>
      </c>
      <c r="AU48" s="80" t="str">
        <f>_xlfn.IFNA(IF(AND(AR48="BAJO",AS48="BAJO",AT48="BAJO"),"BAJO",IF(AND(AR48="ALTO",AS48="ALTO",AT48="ALTO"),"ALTO",IF(COUNTIF(AR48:AT48,"ALTO")=2,"ALTO","MEDIO")))," ")</f>
        <v>MEDIO</v>
      </c>
      <c r="AV48" s="80" t="str">
        <f>_xlfn.IFNA(VLOOKUP(AD48,[7]Tipologías!$B$3:$G$17,4,0),"")</f>
        <v>INFORMACIÓN PÚBLICA</v>
      </c>
      <c r="AW48" s="80" t="str">
        <f>IF(AV48="INFORMACIÓN PÚBLICA","IPB",IF(AV48="INFORMACIÓN PÚBLICA CLASIFICADA","IPC",IF(AV48="INFORMACIÓN PÚBLICA RESERVADA","IPR",IF(AV48="",""))))</f>
        <v>IPB</v>
      </c>
      <c r="AX48" s="80" t="str">
        <f>_xlfn.IFNA(VLOOKUP(AD48,[7]Tipologías!$B$3:$G$17,3,0),"")</f>
        <v>LEY 1712 DE 2014 LEY DE TRANSPARENCIA Y DERECHO DE ACCESO A LA INFORMACIÓN. ARTÍCULO 6 DEFINICIONES LITERAL B.</v>
      </c>
      <c r="AY48" s="80" t="str">
        <f>_xlfn.IFNA(VLOOKUP(AD48,[7]Tipologías!$B$3:$G$17,5,0),"")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48" s="80" t="str">
        <f>_xlfn.IFNA(VLOOKUP(AD48,[7]Tipologías!$B$3:$G$17,6,0),"")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48" s="148" t="s">
        <v>197</v>
      </c>
      <c r="BB48" s="166">
        <v>45105</v>
      </c>
      <c r="BC48" s="148" t="s">
        <v>224</v>
      </c>
      <c r="BD48" s="146" t="s">
        <v>490</v>
      </c>
      <c r="BE48" s="146" t="s">
        <v>491</v>
      </c>
      <c r="BF48" s="45"/>
      <c r="BG48" s="45"/>
      <c r="BH48" s="45"/>
      <c r="BI48" s="45"/>
      <c r="BJ48" s="45"/>
      <c r="BK48" s="45"/>
      <c r="BL48" s="45"/>
      <c r="BM48" s="45"/>
      <c r="BN48" s="45"/>
      <c r="BO48" s="45"/>
      <c r="BP48" s="45"/>
      <c r="BQ48" s="45"/>
      <c r="BR48" s="45"/>
      <c r="BS48" s="45"/>
      <c r="BT48" s="45"/>
      <c r="BU48" s="45"/>
      <c r="BV48" s="45"/>
      <c r="BW48" s="45"/>
      <c r="BX48" s="45"/>
    </row>
    <row r="49" spans="1:76" s="67" customFormat="1" ht="207.75" customHeight="1" x14ac:dyDescent="0.2">
      <c r="A49" s="76">
        <v>40</v>
      </c>
      <c r="B49" s="74" t="s">
        <v>62</v>
      </c>
      <c r="C49" s="74" t="s">
        <v>312</v>
      </c>
      <c r="D49" s="100" t="s">
        <v>269</v>
      </c>
      <c r="E49" s="100" t="s">
        <v>493</v>
      </c>
      <c r="F49" s="75" t="s">
        <v>494</v>
      </c>
      <c r="G49" s="74" t="s">
        <v>205</v>
      </c>
      <c r="H49" s="75" t="s">
        <v>495</v>
      </c>
      <c r="I49" s="75" t="s">
        <v>496</v>
      </c>
      <c r="J49" s="107" t="s">
        <v>319</v>
      </c>
      <c r="K49" s="100" t="s">
        <v>320</v>
      </c>
      <c r="L49" s="75" t="s">
        <v>321</v>
      </c>
      <c r="M49" s="75" t="s">
        <v>497</v>
      </c>
      <c r="N49" s="75" t="s">
        <v>498</v>
      </c>
      <c r="O49" s="116" t="s">
        <v>151</v>
      </c>
      <c r="P49" s="100" t="s">
        <v>499</v>
      </c>
      <c r="Q49" s="76" t="s">
        <v>325</v>
      </c>
      <c r="R49" s="76" t="s">
        <v>325</v>
      </c>
      <c r="S49" s="100" t="s">
        <v>500</v>
      </c>
      <c r="T49" s="100" t="s">
        <v>501</v>
      </c>
      <c r="U49" s="77" t="s">
        <v>328</v>
      </c>
      <c r="V49" s="77" t="s">
        <v>328</v>
      </c>
      <c r="W49" s="77" t="s">
        <v>328</v>
      </c>
      <c r="X49" s="77" t="s">
        <v>328</v>
      </c>
      <c r="Y49" s="77" t="s">
        <v>328</v>
      </c>
      <c r="Z49" s="77" t="s">
        <v>329</v>
      </c>
      <c r="AA49" s="77" t="s">
        <v>195</v>
      </c>
      <c r="AB49" s="77" t="s">
        <v>195</v>
      </c>
      <c r="AC49" s="138" t="s">
        <v>195</v>
      </c>
      <c r="AD49" s="142" t="s">
        <v>206</v>
      </c>
      <c r="AE49" s="142" t="s">
        <v>132</v>
      </c>
      <c r="AF49" s="136" t="str">
        <f t="shared" si="35"/>
        <v>ALTO</v>
      </c>
      <c r="AG49" s="77" t="s">
        <v>102</v>
      </c>
      <c r="AH49" s="136" t="str">
        <f t="shared" si="36"/>
        <v>MEDIO</v>
      </c>
      <c r="AI49" s="78" t="s">
        <v>111</v>
      </c>
      <c r="AJ49" s="77" t="s">
        <v>121</v>
      </c>
      <c r="AK49" s="136" t="str">
        <f t="shared" si="37"/>
        <v>BAJO</v>
      </c>
      <c r="AL49" s="80" t="str">
        <f>VLOOKUP($AD49,[7]Tipologías!$B$3:$G$17,2,FALSE)</f>
        <v>ALTO</v>
      </c>
      <c r="AM49" s="80">
        <f t="shared" si="2"/>
        <v>3</v>
      </c>
      <c r="AN49" s="80" t="str">
        <f>VLOOKUP($AE49,[7]Tipologías!$A$21:$C$24,3,FALSE)</f>
        <v>MEDIO</v>
      </c>
      <c r="AO49" s="80">
        <f t="shared" si="3"/>
        <v>2</v>
      </c>
      <c r="AP49" s="80">
        <f>VLOOKUP($AI49,[7]Tipologías!$A$38:$B$42,2,FALSE)</f>
        <v>0.5</v>
      </c>
      <c r="AQ49" s="80">
        <f>VLOOKUP($AJ49,[7]Tipologías!$A$46:$B$53,2,FALSE)</f>
        <v>1.25</v>
      </c>
      <c r="AR49" s="80" t="str">
        <f t="shared" ref="AR49:AR56" si="38">IF(MAX(AM49,AO49)=3,"ALTO",IF(MAX(AM49,AO49)=2,"MEDIO",IF(MAX(AM49,AO49)=1,"BAJO","  ")))</f>
        <v>ALTO</v>
      </c>
      <c r="AS49" s="80" t="str">
        <f>VLOOKUP($AG49,[7]Tipologías!$A$29:$C$33,3,FALSE)</f>
        <v>MEDIO</v>
      </c>
      <c r="AT49" s="80" t="str">
        <f t="shared" ref="AT49:AT56" si="39">IF(SUM($AP49,$AQ49)&gt;=3,"ALTO",IF(SUM($AP49,$AQ49)&lt;2,"BAJO","MEDIO"))</f>
        <v>BAJO</v>
      </c>
      <c r="AU49" s="80" t="str">
        <f t="shared" ref="AU49:AU51" si="40">_xlfn.IFNA(IF(AND(AR49="BAJO",AS49="BAJO",AT49="BAJO"),"BAJO",IF(AND(AR49="ALTO",AS49="ALTO",AT49="ALTO"),"ALTO",IF(COUNTIF(AR49:AT49,"ALTO")=2,"ALTO","MEDIO")))," ")</f>
        <v>MEDIO</v>
      </c>
      <c r="AV49" s="80" t="str">
        <f>_xlfn.IFNA(VLOOKUP(AD49,[7]Tipologías!$B$3:$G$17,4,0),"")</f>
        <v>INFORMACIÓN PÚBLICA CLASIFICADA</v>
      </c>
      <c r="AW49" s="80" t="str">
        <f t="shared" ref="AW49:AW56" si="41">IF(AV49="INFORMACIÓN PÚBLICA","IPB",IF(AV49="INFORMACIÓN PÚBLICA CLASIFICADA","IPC",IF(AV49="INFORMACIÓN PÚBLICA RESERVADA","IPR",IF(AV49="",""))))</f>
        <v>IPC</v>
      </c>
      <c r="AX49" s="80" t="str">
        <f>_xlfn.IFNA(VLOOKUP(AD49,[7]Tipologías!$B$3:$G$17,3,0),"")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49" s="80" t="str">
        <f>_xlfn.IFNA(VLOOKUP(AD49,[7]Tipologías!$B$3:$G$17,5,0),"")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49" s="80" t="str">
        <f>_xlfn.IFNA(VLOOKUP(AD49,[7]Tipologías!$B$3:$G$17,6,0),"")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49" s="148" t="s">
        <v>197</v>
      </c>
      <c r="BB49" s="166">
        <v>45105</v>
      </c>
      <c r="BC49" s="148" t="s">
        <v>224</v>
      </c>
      <c r="BD49" s="146" t="s">
        <v>490</v>
      </c>
      <c r="BE49" s="146" t="s">
        <v>491</v>
      </c>
      <c r="BF49" s="45"/>
      <c r="BG49" s="45"/>
      <c r="BH49" s="45"/>
      <c r="BI49" s="45"/>
      <c r="BJ49" s="45"/>
      <c r="BK49" s="45"/>
      <c r="BL49" s="45"/>
      <c r="BM49" s="45"/>
      <c r="BN49" s="45"/>
      <c r="BO49" s="45"/>
      <c r="BP49" s="45"/>
      <c r="BQ49" s="45"/>
      <c r="BR49" s="45"/>
      <c r="BS49" s="45"/>
      <c r="BT49" s="45"/>
      <c r="BU49" s="45"/>
      <c r="BV49" s="45"/>
      <c r="BW49" s="45"/>
      <c r="BX49" s="45"/>
    </row>
    <row r="50" spans="1:76" s="67" customFormat="1" ht="207.75" customHeight="1" x14ac:dyDescent="0.2">
      <c r="A50" s="76">
        <v>41</v>
      </c>
      <c r="B50" s="74" t="s">
        <v>62</v>
      </c>
      <c r="C50" s="74" t="s">
        <v>312</v>
      </c>
      <c r="D50" s="100" t="s">
        <v>269</v>
      </c>
      <c r="E50" s="100" t="s">
        <v>502</v>
      </c>
      <c r="F50" s="75" t="s">
        <v>503</v>
      </c>
      <c r="G50" s="74" t="s">
        <v>141</v>
      </c>
      <c r="H50" s="75" t="s">
        <v>487</v>
      </c>
      <c r="I50" s="75" t="s">
        <v>504</v>
      </c>
      <c r="J50" s="107" t="s">
        <v>336</v>
      </c>
      <c r="K50" s="100" t="s">
        <v>320</v>
      </c>
      <c r="L50" s="75" t="s">
        <v>321</v>
      </c>
      <c r="M50" s="116" t="s">
        <v>195</v>
      </c>
      <c r="N50" s="75" t="s">
        <v>505</v>
      </c>
      <c r="O50" s="116" t="s">
        <v>151</v>
      </c>
      <c r="P50" s="100" t="s">
        <v>506</v>
      </c>
      <c r="Q50" s="76" t="s">
        <v>325</v>
      </c>
      <c r="R50" s="76" t="s">
        <v>325</v>
      </c>
      <c r="S50" s="100" t="s">
        <v>195</v>
      </c>
      <c r="T50" s="100" t="s">
        <v>195</v>
      </c>
      <c r="U50" s="77" t="s">
        <v>328</v>
      </c>
      <c r="V50" s="77" t="s">
        <v>328</v>
      </c>
      <c r="W50" s="77" t="s">
        <v>328</v>
      </c>
      <c r="X50" s="77" t="s">
        <v>328</v>
      </c>
      <c r="Y50" s="77" t="s">
        <v>329</v>
      </c>
      <c r="Z50" s="77" t="s">
        <v>329</v>
      </c>
      <c r="AA50" s="77" t="s">
        <v>195</v>
      </c>
      <c r="AB50" s="77" t="s">
        <v>195</v>
      </c>
      <c r="AC50" s="138" t="s">
        <v>195</v>
      </c>
      <c r="AD50" s="142" t="s">
        <v>206</v>
      </c>
      <c r="AE50" s="142" t="s">
        <v>132</v>
      </c>
      <c r="AF50" s="136" t="str">
        <f t="shared" si="35"/>
        <v>ALTO</v>
      </c>
      <c r="AG50" s="77" t="s">
        <v>102</v>
      </c>
      <c r="AH50" s="136" t="str">
        <f t="shared" si="36"/>
        <v>MEDIO</v>
      </c>
      <c r="AI50" s="78" t="s">
        <v>111</v>
      </c>
      <c r="AJ50" s="77" t="s">
        <v>121</v>
      </c>
      <c r="AK50" s="136" t="str">
        <f t="shared" si="37"/>
        <v>BAJO</v>
      </c>
      <c r="AL50" s="80" t="str">
        <f>VLOOKUP($AD50,[7]Tipologías!$B$3:$G$17,2,FALSE)</f>
        <v>ALTO</v>
      </c>
      <c r="AM50" s="80">
        <f t="shared" si="2"/>
        <v>3</v>
      </c>
      <c r="AN50" s="80" t="str">
        <f>VLOOKUP($AE50,[7]Tipologías!$A$21:$C$24,3,FALSE)</f>
        <v>MEDIO</v>
      </c>
      <c r="AO50" s="80">
        <f t="shared" si="3"/>
        <v>2</v>
      </c>
      <c r="AP50" s="80">
        <f>VLOOKUP($AI50,[7]Tipologías!$A$38:$B$42,2,FALSE)</f>
        <v>0.5</v>
      </c>
      <c r="AQ50" s="80">
        <f>VLOOKUP($AJ50,[7]Tipologías!$A$46:$B$53,2,FALSE)</f>
        <v>1.25</v>
      </c>
      <c r="AR50" s="80" t="str">
        <f t="shared" si="38"/>
        <v>ALTO</v>
      </c>
      <c r="AS50" s="80" t="str">
        <f>VLOOKUP($AG50,[7]Tipologías!$A$29:$C$33,3,FALSE)</f>
        <v>MEDIO</v>
      </c>
      <c r="AT50" s="80" t="str">
        <f t="shared" si="39"/>
        <v>BAJO</v>
      </c>
      <c r="AU50" s="80" t="str">
        <f t="shared" si="40"/>
        <v>MEDIO</v>
      </c>
      <c r="AV50" s="80" t="str">
        <f>_xlfn.IFNA(VLOOKUP(AD50,[7]Tipologías!$B$3:$G$17,4,0),"")</f>
        <v>INFORMACIÓN PÚBLICA CLASIFICADA</v>
      </c>
      <c r="AW50" s="80" t="str">
        <f t="shared" si="41"/>
        <v>IPC</v>
      </c>
      <c r="AX50" s="80" t="str">
        <f>_xlfn.IFNA(VLOOKUP(AD50,[7]Tipologías!$B$3:$G$17,3,0),"")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0" s="80" t="str">
        <f>_xlfn.IFNA(VLOOKUP(AD50,[7]Tipologías!$B$3:$G$17,5,0),"")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0" s="80" t="str">
        <f>_xlfn.IFNA(VLOOKUP(AD50,[7]Tipologías!$B$3:$G$17,6,0),"")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0" s="148" t="s">
        <v>197</v>
      </c>
      <c r="BB50" s="166">
        <v>45105</v>
      </c>
      <c r="BC50" s="148" t="s">
        <v>224</v>
      </c>
      <c r="BD50" s="146" t="s">
        <v>490</v>
      </c>
      <c r="BE50" s="146" t="s">
        <v>491</v>
      </c>
      <c r="BF50" s="45"/>
      <c r="BG50" s="45"/>
      <c r="BH50" s="45"/>
      <c r="BI50" s="45"/>
      <c r="BJ50" s="45"/>
      <c r="BK50" s="45"/>
      <c r="BL50" s="45"/>
      <c r="BM50" s="45"/>
      <c r="BN50" s="45"/>
      <c r="BO50" s="45"/>
      <c r="BP50" s="45"/>
      <c r="BQ50" s="45"/>
      <c r="BR50" s="45"/>
      <c r="BS50" s="45"/>
      <c r="BT50" s="45"/>
      <c r="BU50" s="45"/>
      <c r="BV50" s="45"/>
      <c r="BW50" s="45"/>
      <c r="BX50" s="45"/>
    </row>
    <row r="51" spans="1:76" s="67" customFormat="1" ht="207.75" customHeight="1" x14ac:dyDescent="0.2">
      <c r="A51" s="76">
        <v>42</v>
      </c>
      <c r="B51" s="74" t="s">
        <v>62</v>
      </c>
      <c r="C51" s="74" t="s">
        <v>312</v>
      </c>
      <c r="D51" s="100" t="s">
        <v>269</v>
      </c>
      <c r="E51" s="100" t="s">
        <v>502</v>
      </c>
      <c r="F51" s="75" t="s">
        <v>507</v>
      </c>
      <c r="G51" s="74" t="s">
        <v>140</v>
      </c>
      <c r="H51" s="75" t="s">
        <v>487</v>
      </c>
      <c r="I51" s="75" t="s">
        <v>504</v>
      </c>
      <c r="J51" s="107" t="s">
        <v>336</v>
      </c>
      <c r="K51" s="100" t="s">
        <v>320</v>
      </c>
      <c r="L51" s="75" t="s">
        <v>321</v>
      </c>
      <c r="M51" s="116" t="s">
        <v>195</v>
      </c>
      <c r="N51" s="75" t="s">
        <v>505</v>
      </c>
      <c r="O51" s="116" t="s">
        <v>151</v>
      </c>
      <c r="P51" s="100" t="s">
        <v>506</v>
      </c>
      <c r="Q51" s="76" t="s">
        <v>325</v>
      </c>
      <c r="R51" s="76" t="s">
        <v>325</v>
      </c>
      <c r="S51" s="100" t="s">
        <v>195</v>
      </c>
      <c r="T51" s="100" t="s">
        <v>195</v>
      </c>
      <c r="U51" s="77" t="s">
        <v>328</v>
      </c>
      <c r="V51" s="77" t="s">
        <v>328</v>
      </c>
      <c r="W51" s="77" t="s">
        <v>328</v>
      </c>
      <c r="X51" s="77" t="s">
        <v>328</v>
      </c>
      <c r="Y51" s="77" t="s">
        <v>329</v>
      </c>
      <c r="Z51" s="77" t="s">
        <v>329</v>
      </c>
      <c r="AA51" s="77" t="s">
        <v>195</v>
      </c>
      <c r="AB51" s="77" t="s">
        <v>195</v>
      </c>
      <c r="AC51" s="138" t="s">
        <v>195</v>
      </c>
      <c r="AD51" s="142" t="s">
        <v>208</v>
      </c>
      <c r="AE51" s="142" t="s">
        <v>132</v>
      </c>
      <c r="AF51" s="136" t="str">
        <f t="shared" si="35"/>
        <v>ALTO</v>
      </c>
      <c r="AG51" s="77" t="s">
        <v>102</v>
      </c>
      <c r="AH51" s="136" t="str">
        <f t="shared" si="36"/>
        <v>MEDIO</v>
      </c>
      <c r="AI51" s="78" t="s">
        <v>111</v>
      </c>
      <c r="AJ51" s="77" t="s">
        <v>121</v>
      </c>
      <c r="AK51" s="136" t="str">
        <f t="shared" si="37"/>
        <v>BAJO</v>
      </c>
      <c r="AL51" s="80" t="str">
        <f>VLOOKUP($AD51,[7]Tipologías!$B$3:$G$17,2,FALSE)</f>
        <v>ALTO</v>
      </c>
      <c r="AM51" s="80">
        <f t="shared" si="2"/>
        <v>3</v>
      </c>
      <c r="AN51" s="80" t="str">
        <f>VLOOKUP($AE51,[7]Tipologías!$A$21:$C$24,3,FALSE)</f>
        <v>MEDIO</v>
      </c>
      <c r="AO51" s="80">
        <f t="shared" si="3"/>
        <v>2</v>
      </c>
      <c r="AP51" s="80">
        <f>VLOOKUP($AI51,[7]Tipologías!$A$38:$B$42,2,FALSE)</f>
        <v>0.5</v>
      </c>
      <c r="AQ51" s="80">
        <f>VLOOKUP($AJ51,[7]Tipologías!$A$46:$B$53,2,FALSE)</f>
        <v>1.25</v>
      </c>
      <c r="AR51" s="80" t="str">
        <f t="shared" si="38"/>
        <v>ALTO</v>
      </c>
      <c r="AS51" s="80" t="str">
        <f>VLOOKUP($AG51,[7]Tipologías!$A$29:$C$33,3,FALSE)</f>
        <v>MEDIO</v>
      </c>
      <c r="AT51" s="80" t="str">
        <f t="shared" si="39"/>
        <v>BAJO</v>
      </c>
      <c r="AU51" s="80" t="str">
        <f t="shared" si="40"/>
        <v>MEDIO</v>
      </c>
      <c r="AV51" s="80" t="str">
        <f>_xlfn.IFNA(VLOOKUP(AD51,[7]Tipologías!$B$3:$G$17,4,0),"")</f>
        <v>INFORMACIÓN PÚBLICA CLASIFICADA</v>
      </c>
      <c r="AW51" s="80" t="str">
        <f t="shared" si="41"/>
        <v>IPC</v>
      </c>
      <c r="AX51" s="80" t="str">
        <f>_xlfn.IFNA(VLOOKUP(AD51,[7]Tipologías!$B$3:$G$17,3,0),"")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51" s="80" t="str">
        <f>_xlfn.IFNA(VLOOKUP(AD51,[7]Tipologías!$B$3:$G$17,5,0),"")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51" s="80" t="str">
        <f>_xlfn.IFNA(VLOOKUP(AD51,[7]Tipologías!$B$3:$G$17,6,0),"")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51" s="148" t="s">
        <v>197</v>
      </c>
      <c r="BB51" s="166">
        <v>45105</v>
      </c>
      <c r="BC51" s="148" t="s">
        <v>224</v>
      </c>
      <c r="BD51" s="146" t="s">
        <v>490</v>
      </c>
      <c r="BE51" s="146" t="s">
        <v>491</v>
      </c>
      <c r="BF51" s="45"/>
      <c r="BG51" s="45"/>
      <c r="BH51" s="45"/>
      <c r="BI51" s="45"/>
      <c r="BJ51" s="45"/>
      <c r="BK51" s="45"/>
      <c r="BL51" s="45"/>
      <c r="BM51" s="45"/>
      <c r="BN51" s="45"/>
      <c r="BO51" s="45"/>
      <c r="BP51" s="45"/>
      <c r="BQ51" s="45"/>
      <c r="BR51" s="45"/>
      <c r="BS51" s="45"/>
      <c r="BT51" s="45"/>
      <c r="BU51" s="45"/>
      <c r="BV51" s="45"/>
      <c r="BW51" s="45"/>
      <c r="BX51" s="45"/>
    </row>
    <row r="52" spans="1:76" s="68" customFormat="1" ht="207.75" customHeight="1" x14ac:dyDescent="0.2">
      <c r="A52" s="76">
        <v>43</v>
      </c>
      <c r="B52" s="117" t="s">
        <v>62</v>
      </c>
      <c r="C52" s="117" t="s">
        <v>311</v>
      </c>
      <c r="D52" s="120" t="s">
        <v>278</v>
      </c>
      <c r="E52" s="219" t="s">
        <v>508</v>
      </c>
      <c r="F52" s="118" t="s">
        <v>509</v>
      </c>
      <c r="G52" s="117" t="s">
        <v>140</v>
      </c>
      <c r="H52" s="118" t="s">
        <v>510</v>
      </c>
      <c r="I52" s="126" t="s">
        <v>511</v>
      </c>
      <c r="J52" s="151" t="s">
        <v>336</v>
      </c>
      <c r="K52" s="120" t="s">
        <v>320</v>
      </c>
      <c r="L52" s="118" t="s">
        <v>321</v>
      </c>
      <c r="M52" s="125" t="s">
        <v>195</v>
      </c>
      <c r="N52" s="118" t="s">
        <v>512</v>
      </c>
      <c r="O52" s="125" t="s">
        <v>144</v>
      </c>
      <c r="P52" s="120" t="s">
        <v>513</v>
      </c>
      <c r="Q52" s="119" t="s">
        <v>325</v>
      </c>
      <c r="R52" s="119" t="s">
        <v>195</v>
      </c>
      <c r="S52" s="120" t="s">
        <v>195</v>
      </c>
      <c r="T52" s="120" t="s">
        <v>195</v>
      </c>
      <c r="U52" s="121" t="s">
        <v>328</v>
      </c>
      <c r="V52" s="121" t="s">
        <v>328</v>
      </c>
      <c r="W52" s="121" t="s">
        <v>329</v>
      </c>
      <c r="X52" s="121" t="s">
        <v>329</v>
      </c>
      <c r="Y52" s="121" t="s">
        <v>329</v>
      </c>
      <c r="Z52" s="121" t="s">
        <v>329</v>
      </c>
      <c r="AA52" s="121" t="s">
        <v>195</v>
      </c>
      <c r="AB52" s="124" t="s">
        <v>195</v>
      </c>
      <c r="AC52" s="159" t="s">
        <v>195</v>
      </c>
      <c r="AD52" s="163" t="s">
        <v>206</v>
      </c>
      <c r="AE52" s="163" t="s">
        <v>132</v>
      </c>
      <c r="AF52" s="121" t="str">
        <f t="shared" si="35"/>
        <v>ALTO</v>
      </c>
      <c r="AG52" s="121" t="s">
        <v>100</v>
      </c>
      <c r="AH52" s="127" t="str">
        <f t="shared" si="36"/>
        <v>BAJO</v>
      </c>
      <c r="AI52" s="123" t="s">
        <v>111</v>
      </c>
      <c r="AJ52" s="121" t="s">
        <v>118</v>
      </c>
      <c r="AK52" s="127" t="str">
        <f t="shared" si="37"/>
        <v>MEDIO</v>
      </c>
      <c r="AL52" s="124" t="str">
        <f>VLOOKUP($AD52,[8]Tipologías!$B$3:$G$17,2,FALSE)</f>
        <v>ALTO</v>
      </c>
      <c r="AM52" s="124">
        <f t="shared" si="2"/>
        <v>3</v>
      </c>
      <c r="AN52" s="124" t="str">
        <f>VLOOKUP($AE52,[8]Tipologías!$A$21:$C$24,3,FALSE)</f>
        <v>MEDIO</v>
      </c>
      <c r="AO52" s="124">
        <f t="shared" si="3"/>
        <v>2</v>
      </c>
      <c r="AP52" s="124">
        <f>VLOOKUP($AI52,[8]Tipologías!$A$38:$B$42,2,FALSE)</f>
        <v>0.5</v>
      </c>
      <c r="AQ52" s="124">
        <f>VLOOKUP($AJ52,[8]Tipologías!$A$46:$B$53,2,FALSE)</f>
        <v>2.25</v>
      </c>
      <c r="AR52" s="124" t="str">
        <f t="shared" si="38"/>
        <v>ALTO</v>
      </c>
      <c r="AS52" s="124" t="str">
        <f>VLOOKUP($AG52,[8]Tipologías!$A$29:$C$33,3,FALSE)</f>
        <v>BAJO</v>
      </c>
      <c r="AT52" s="124" t="str">
        <f t="shared" si="39"/>
        <v>MEDIO</v>
      </c>
      <c r="AU52" s="80" t="str">
        <f>_xlfn.IFNA(IF(AND(AR52="BAJO",AS52="BAJO",AT52="BAJO"),"BAJO",IF(AND(AR52="ALTO",AS52="ALTO",AT52="ALTO"),"ALTO",IF(COUNTIF(AR52:AT52,"ALTO")=2,"ALTO","MEDIO")))," ")</f>
        <v>MEDIO</v>
      </c>
      <c r="AV52" s="80" t="str">
        <f>_xlfn.IFNA(VLOOKUP(AD52,[9]Tipologías!$B$3:$G$17,4,0),"")</f>
        <v>INFORMACIÓN PÚBLICA CLASIFICADA</v>
      </c>
      <c r="AW52" s="124" t="str">
        <f t="shared" si="41"/>
        <v>IPC</v>
      </c>
      <c r="AX52" s="80" t="str">
        <f>_xlfn.IFNA(VLOOKUP(AD52,[9]Tipologías!$B$3:$G$17,3,0),"")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2" s="80" t="str">
        <f>_xlfn.IFNA(VLOOKUP(AD52,[9]Tipologías!$B$3:$G$17,5,0),"")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2" s="80" t="str">
        <f>_xlfn.IFNA(VLOOKUP(AD52,[9]Tipologías!$B$3:$G$17,6,0),"")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2" s="168" t="s">
        <v>197</v>
      </c>
      <c r="BB52" s="169">
        <v>45105</v>
      </c>
      <c r="BC52" s="168" t="s">
        <v>221</v>
      </c>
      <c r="BD52" s="170" t="s">
        <v>514</v>
      </c>
      <c r="BE52" s="170" t="s">
        <v>515</v>
      </c>
      <c r="BF52" s="45"/>
      <c r="BG52" s="45"/>
      <c r="BH52" s="45"/>
      <c r="BI52" s="45"/>
      <c r="BJ52" s="45"/>
      <c r="BK52" s="45"/>
      <c r="BL52" s="45"/>
      <c r="BM52" s="45"/>
      <c r="BN52" s="45"/>
      <c r="BO52" s="45"/>
      <c r="BP52" s="45"/>
      <c r="BQ52" s="45"/>
      <c r="BR52" s="45"/>
      <c r="BS52" s="45"/>
      <c r="BT52" s="45"/>
      <c r="BU52" s="45"/>
      <c r="BV52" s="45"/>
      <c r="BW52" s="45"/>
      <c r="BX52" s="45"/>
    </row>
    <row r="53" spans="1:76" s="67" customFormat="1" ht="207.75" customHeight="1" x14ac:dyDescent="0.2">
      <c r="A53" s="76">
        <v>44</v>
      </c>
      <c r="B53" s="117" t="s">
        <v>62</v>
      </c>
      <c r="C53" s="117" t="s">
        <v>311</v>
      </c>
      <c r="D53" s="120" t="s">
        <v>278</v>
      </c>
      <c r="E53" s="220" t="s">
        <v>516</v>
      </c>
      <c r="F53" s="118" t="s">
        <v>517</v>
      </c>
      <c r="G53" s="117" t="s">
        <v>140</v>
      </c>
      <c r="H53" s="118" t="s">
        <v>510</v>
      </c>
      <c r="I53" s="118" t="s">
        <v>510</v>
      </c>
      <c r="J53" s="151" t="s">
        <v>336</v>
      </c>
      <c r="K53" s="120" t="s">
        <v>320</v>
      </c>
      <c r="L53" s="118" t="s">
        <v>321</v>
      </c>
      <c r="M53" s="125" t="s">
        <v>195</v>
      </c>
      <c r="N53" s="128" t="s">
        <v>518</v>
      </c>
      <c r="O53" s="125" t="s">
        <v>151</v>
      </c>
      <c r="P53" s="120" t="s">
        <v>519</v>
      </c>
      <c r="Q53" s="119" t="s">
        <v>325</v>
      </c>
      <c r="R53" s="119" t="s">
        <v>195</v>
      </c>
      <c r="S53" s="119" t="s">
        <v>195</v>
      </c>
      <c r="T53" s="119" t="s">
        <v>195</v>
      </c>
      <c r="U53" s="121" t="s">
        <v>328</v>
      </c>
      <c r="V53" s="121" t="s">
        <v>328</v>
      </c>
      <c r="W53" s="121" t="s">
        <v>329</v>
      </c>
      <c r="X53" s="121" t="s">
        <v>329</v>
      </c>
      <c r="Y53" s="121" t="s">
        <v>329</v>
      </c>
      <c r="Z53" s="121" t="s">
        <v>329</v>
      </c>
      <c r="AA53" s="121" t="s">
        <v>195</v>
      </c>
      <c r="AB53" s="124" t="s">
        <v>195</v>
      </c>
      <c r="AC53" s="159" t="s">
        <v>195</v>
      </c>
      <c r="AD53" s="163" t="s">
        <v>206</v>
      </c>
      <c r="AE53" s="163" t="s">
        <v>132</v>
      </c>
      <c r="AF53" s="121" t="str">
        <f t="shared" si="35"/>
        <v>ALTO</v>
      </c>
      <c r="AG53" s="124" t="s">
        <v>102</v>
      </c>
      <c r="AH53" s="127" t="str">
        <f>_xlfn.IFNA((AS52),"")</f>
        <v>BAJO</v>
      </c>
      <c r="AI53" s="129" t="s">
        <v>109</v>
      </c>
      <c r="AJ53" s="124" t="s">
        <v>120</v>
      </c>
      <c r="AK53" s="127" t="str">
        <f t="shared" ref="AK53:AK64" si="42">_xlfn.IFNA((AT53),"")</f>
        <v>BAJO</v>
      </c>
      <c r="AL53" s="124" t="str">
        <f>VLOOKUP($AD53,[8]Tipologías!$B$3:$G$17,2,FALSE)</f>
        <v>ALTO</v>
      </c>
      <c r="AM53" s="124">
        <f t="shared" si="2"/>
        <v>3</v>
      </c>
      <c r="AN53" s="124" t="str">
        <f>VLOOKUP($AE53,[8]Tipologías!$A$21:$C$24,3,FALSE)</f>
        <v>MEDIO</v>
      </c>
      <c r="AO53" s="124">
        <f t="shared" si="3"/>
        <v>2</v>
      </c>
      <c r="AP53" s="124">
        <f>VLOOKUP($AI53,[8]Tipologías!$A$38:$B$42,2,FALSE)</f>
        <v>0</v>
      </c>
      <c r="AQ53" s="124">
        <f>VLOOKUP($AJ53,[8]Tipologías!$A$46:$B$53,2,FALSE)</f>
        <v>1.5</v>
      </c>
      <c r="AR53" s="124" t="str">
        <f t="shared" si="38"/>
        <v>ALTO</v>
      </c>
      <c r="AS53" s="124" t="str">
        <f>VLOOKUP($AG53,[8]Tipologías!$A$29:$C$33,3,FALSE)</f>
        <v>MEDIO</v>
      </c>
      <c r="AT53" s="124" t="str">
        <f t="shared" si="39"/>
        <v>BAJO</v>
      </c>
      <c r="AU53" s="80" t="str">
        <f t="shared" ref="AU53:AU56" si="43">_xlfn.IFNA(IF(AND(AR53="BAJO",AS53="BAJO",AT53="BAJO"),"BAJO",IF(AND(AR53="ALTO",AS53="ALTO",AT53="ALTO"),"ALTO",IF(COUNTIF(AR53:AT53,"ALTO")=2,"ALTO","MEDIO")))," ")</f>
        <v>MEDIO</v>
      </c>
      <c r="AV53" s="80" t="str">
        <f>_xlfn.IFNA(VLOOKUP(AD53,[9]Tipologías!$B$3:$G$17,4,0),"")</f>
        <v>INFORMACIÓN PÚBLICA CLASIFICADA</v>
      </c>
      <c r="AW53" s="124" t="str">
        <f t="shared" si="41"/>
        <v>IPC</v>
      </c>
      <c r="AX53" s="80" t="str">
        <f>_xlfn.IFNA(VLOOKUP(AD53,[9]Tipologías!$B$3:$G$17,3,0),"")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3" s="80" t="str">
        <f>_xlfn.IFNA(VLOOKUP(AD53,[9]Tipologías!$B$3:$G$17,5,0),"")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3" s="80" t="str">
        <f>_xlfn.IFNA(VLOOKUP(AD53,[9]Tipologías!$B$3:$G$17,6,0),"")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3" s="168" t="s">
        <v>197</v>
      </c>
      <c r="BB53" s="169">
        <v>45105</v>
      </c>
      <c r="BC53" s="168" t="s">
        <v>195</v>
      </c>
      <c r="BD53" s="170" t="s">
        <v>520</v>
      </c>
      <c r="BE53" s="170" t="s">
        <v>515</v>
      </c>
      <c r="BF53" s="45"/>
      <c r="BG53" s="45"/>
      <c r="BH53" s="45"/>
      <c r="BI53" s="45"/>
      <c r="BJ53" s="45"/>
      <c r="BK53" s="45"/>
      <c r="BL53" s="45"/>
      <c r="BM53" s="45"/>
      <c r="BN53" s="45"/>
      <c r="BO53" s="45"/>
      <c r="BP53" s="45"/>
      <c r="BQ53" s="45"/>
      <c r="BR53" s="45"/>
      <c r="BS53" s="45"/>
      <c r="BT53" s="45"/>
      <c r="BU53" s="45"/>
      <c r="BV53" s="45"/>
      <c r="BW53" s="45"/>
      <c r="BX53" s="45"/>
    </row>
    <row r="54" spans="1:76" s="68" customFormat="1" ht="207.75" customHeight="1" x14ac:dyDescent="0.2">
      <c r="A54" s="76">
        <v>45</v>
      </c>
      <c r="B54" s="117" t="s">
        <v>62</v>
      </c>
      <c r="C54" s="117" t="s">
        <v>311</v>
      </c>
      <c r="D54" s="120" t="s">
        <v>278</v>
      </c>
      <c r="E54" s="120" t="s">
        <v>521</v>
      </c>
      <c r="F54" s="129" t="s">
        <v>522</v>
      </c>
      <c r="G54" s="117" t="s">
        <v>140</v>
      </c>
      <c r="H54" s="118" t="s">
        <v>523</v>
      </c>
      <c r="I54" s="118" t="s">
        <v>524</v>
      </c>
      <c r="J54" s="151" t="s">
        <v>319</v>
      </c>
      <c r="K54" s="120" t="s">
        <v>320</v>
      </c>
      <c r="L54" s="118" t="s">
        <v>321</v>
      </c>
      <c r="M54" s="118" t="s">
        <v>525</v>
      </c>
      <c r="N54" s="128" t="s">
        <v>526</v>
      </c>
      <c r="O54" s="125" t="s">
        <v>144</v>
      </c>
      <c r="P54" s="120" t="s">
        <v>513</v>
      </c>
      <c r="Q54" s="119" t="s">
        <v>325</v>
      </c>
      <c r="R54" s="130" t="s">
        <v>195</v>
      </c>
      <c r="S54" s="119" t="s">
        <v>195</v>
      </c>
      <c r="T54" s="119" t="s">
        <v>195</v>
      </c>
      <c r="U54" s="121" t="s">
        <v>328</v>
      </c>
      <c r="V54" s="121" t="s">
        <v>328</v>
      </c>
      <c r="W54" s="121" t="s">
        <v>329</v>
      </c>
      <c r="X54" s="121" t="s">
        <v>329</v>
      </c>
      <c r="Y54" s="121" t="s">
        <v>329</v>
      </c>
      <c r="Z54" s="121" t="s">
        <v>329</v>
      </c>
      <c r="AA54" s="121" t="s">
        <v>195</v>
      </c>
      <c r="AB54" s="124" t="s">
        <v>195</v>
      </c>
      <c r="AC54" s="159" t="s">
        <v>195</v>
      </c>
      <c r="AD54" s="164" t="s">
        <v>89</v>
      </c>
      <c r="AE54" s="163" t="s">
        <v>132</v>
      </c>
      <c r="AF54" s="121" t="str">
        <f t="shared" ref="AF54:AF55" si="44">AR54</f>
        <v>MEDIO</v>
      </c>
      <c r="AG54" s="121" t="s">
        <v>102</v>
      </c>
      <c r="AH54" s="127" t="str">
        <f>_xlfn.IFNA((AS52),"")</f>
        <v>BAJO</v>
      </c>
      <c r="AI54" s="123" t="s">
        <v>111</v>
      </c>
      <c r="AJ54" s="124" t="s">
        <v>121</v>
      </c>
      <c r="AK54" s="127" t="str">
        <f t="shared" si="42"/>
        <v>BAJO</v>
      </c>
      <c r="AL54" s="124" t="str">
        <f>VLOOKUP($AD54,[8]Tipologías!$B$3:$G$17,2,FALSE)</f>
        <v>BAJO</v>
      </c>
      <c r="AM54" s="124">
        <f t="shared" si="2"/>
        <v>1</v>
      </c>
      <c r="AN54" s="124" t="str">
        <f>VLOOKUP($AE54,[8]Tipologías!$A$21:$C$24,3,FALSE)</f>
        <v>MEDIO</v>
      </c>
      <c r="AO54" s="124">
        <f t="shared" si="3"/>
        <v>2</v>
      </c>
      <c r="AP54" s="124">
        <f>VLOOKUP($AI54,[8]Tipologías!$A$38:$B$42,2,FALSE)</f>
        <v>0.5</v>
      </c>
      <c r="AQ54" s="124">
        <f>VLOOKUP($AJ54,[8]Tipologías!$A$46:$B$53,2,FALSE)</f>
        <v>1.25</v>
      </c>
      <c r="AR54" s="124" t="str">
        <f t="shared" si="38"/>
        <v>MEDIO</v>
      </c>
      <c r="AS54" s="124" t="str">
        <f>VLOOKUP($AG54,[8]Tipologías!$A$29:$C$33,3,FALSE)</f>
        <v>MEDIO</v>
      </c>
      <c r="AT54" s="124" t="str">
        <f t="shared" si="39"/>
        <v>BAJO</v>
      </c>
      <c r="AU54" s="80" t="str">
        <f t="shared" si="43"/>
        <v>MEDIO</v>
      </c>
      <c r="AV54" s="80" t="str">
        <f>_xlfn.IFNA(VLOOKUP(AD54,[9]Tipologías!$B$3:$G$17,4,0),"")</f>
        <v>INFORMACIÓN PÚBLICA</v>
      </c>
      <c r="AW54" s="124" t="str">
        <f t="shared" si="41"/>
        <v>IPB</v>
      </c>
      <c r="AX54" s="80" t="str">
        <f>_xlfn.IFNA(VLOOKUP(AD54,[9]Tipologías!$B$3:$G$17,3,0),"")</f>
        <v>LEY 1712 DE 2014 LEY DE TRANSPARENCIA Y DERECHO DE ACCESO A LA INFORMACIÓN. ARTÍCULO 6 DEFINICIONES LITERAL B.</v>
      </c>
      <c r="AY54" s="80" t="str">
        <f>_xlfn.IFNA(VLOOKUP(AD54,[9]Tipologías!$B$3:$G$17,5,0),"")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54" s="80" t="str">
        <f>_xlfn.IFNA(VLOOKUP(AD54,[9]Tipologías!$B$3:$G$17,6,0),"")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54" s="168" t="s">
        <v>197</v>
      </c>
      <c r="BB54" s="169">
        <v>45105</v>
      </c>
      <c r="BC54" s="168" t="s">
        <v>221</v>
      </c>
      <c r="BD54" s="170" t="s">
        <v>527</v>
      </c>
      <c r="BE54" s="170" t="s">
        <v>515</v>
      </c>
      <c r="BF54" s="45"/>
      <c r="BG54" s="45"/>
      <c r="BH54" s="45"/>
      <c r="BI54" s="45"/>
      <c r="BJ54" s="45"/>
      <c r="BK54" s="45"/>
      <c r="BL54" s="45"/>
      <c r="BM54" s="45"/>
      <c r="BN54" s="45"/>
      <c r="BO54" s="45"/>
      <c r="BP54" s="45"/>
      <c r="BQ54" s="45"/>
      <c r="BR54" s="45"/>
      <c r="BS54" s="45"/>
      <c r="BT54" s="45"/>
      <c r="BU54" s="45"/>
      <c r="BV54" s="45"/>
      <c r="BW54" s="45"/>
      <c r="BX54" s="45"/>
    </row>
    <row r="55" spans="1:76" s="67" customFormat="1" ht="207.75" customHeight="1" x14ac:dyDescent="0.2">
      <c r="A55" s="76">
        <v>46</v>
      </c>
      <c r="B55" s="117" t="s">
        <v>62</v>
      </c>
      <c r="C55" s="117" t="s">
        <v>311</v>
      </c>
      <c r="D55" s="120" t="s">
        <v>278</v>
      </c>
      <c r="E55" s="120" t="s">
        <v>528</v>
      </c>
      <c r="F55" s="118" t="s">
        <v>529</v>
      </c>
      <c r="G55" s="117" t="s">
        <v>205</v>
      </c>
      <c r="H55" s="118" t="s">
        <v>530</v>
      </c>
      <c r="I55" s="118" t="s">
        <v>524</v>
      </c>
      <c r="J55" s="151" t="s">
        <v>319</v>
      </c>
      <c r="K55" s="120" t="s">
        <v>320</v>
      </c>
      <c r="L55" s="118" t="s">
        <v>321</v>
      </c>
      <c r="M55" s="118" t="s">
        <v>530</v>
      </c>
      <c r="N55" s="118" t="s">
        <v>531</v>
      </c>
      <c r="O55" s="125" t="s">
        <v>144</v>
      </c>
      <c r="P55" s="120" t="s">
        <v>513</v>
      </c>
      <c r="Q55" s="119" t="s">
        <v>325</v>
      </c>
      <c r="R55" s="119" t="s">
        <v>195</v>
      </c>
      <c r="S55" s="120" t="s">
        <v>532</v>
      </c>
      <c r="T55" s="120" t="s">
        <v>533</v>
      </c>
      <c r="U55" s="121" t="s">
        <v>328</v>
      </c>
      <c r="V55" s="121" t="s">
        <v>329</v>
      </c>
      <c r="W55" s="121" t="s">
        <v>328</v>
      </c>
      <c r="X55" s="121" t="s">
        <v>195</v>
      </c>
      <c r="Y55" s="121" t="s">
        <v>195</v>
      </c>
      <c r="Z55" s="121" t="s">
        <v>195</v>
      </c>
      <c r="AA55" s="121" t="s">
        <v>195</v>
      </c>
      <c r="AB55" s="121" t="s">
        <v>195</v>
      </c>
      <c r="AC55" s="158" t="s">
        <v>195</v>
      </c>
      <c r="AD55" s="163" t="s">
        <v>206</v>
      </c>
      <c r="AE55" s="163" t="s">
        <v>132</v>
      </c>
      <c r="AF55" s="121" t="str">
        <f t="shared" si="44"/>
        <v>ALTO</v>
      </c>
      <c r="AG55" s="121" t="s">
        <v>104</v>
      </c>
      <c r="AH55" s="127" t="str">
        <f>_xlfn.IFNA((AS52),"")</f>
        <v>BAJO</v>
      </c>
      <c r="AI55" s="123" t="s">
        <v>111</v>
      </c>
      <c r="AJ55" s="121" t="s">
        <v>119</v>
      </c>
      <c r="AK55" s="127" t="str">
        <f t="shared" si="42"/>
        <v>MEDIO</v>
      </c>
      <c r="AL55" s="124" t="str">
        <f>VLOOKUP($AD55,[8]Tipologías!$B$3:$G$17,2,FALSE)</f>
        <v>ALTO</v>
      </c>
      <c r="AM55" s="124">
        <f t="shared" si="2"/>
        <v>3</v>
      </c>
      <c r="AN55" s="124" t="str">
        <f>VLOOKUP($AE55,[8]Tipologías!$A$21:$C$24,3,FALSE)</f>
        <v>MEDIO</v>
      </c>
      <c r="AO55" s="124">
        <f t="shared" si="3"/>
        <v>2</v>
      </c>
      <c r="AP55" s="124">
        <f>VLOOKUP($AI55,[8]Tipologías!$A$38:$B$42,2,FALSE)</f>
        <v>0.5</v>
      </c>
      <c r="AQ55" s="124">
        <f>VLOOKUP($AJ55,[8]Tipologías!$A$46:$B$53,2,FALSE)</f>
        <v>2</v>
      </c>
      <c r="AR55" s="124" t="str">
        <f t="shared" si="38"/>
        <v>ALTO</v>
      </c>
      <c r="AS55" s="124" t="str">
        <f>VLOOKUP($AG55,[8]Tipologías!$A$29:$C$33,3,FALSE)</f>
        <v>ALTO</v>
      </c>
      <c r="AT55" s="124" t="str">
        <f t="shared" si="39"/>
        <v>MEDIO</v>
      </c>
      <c r="AU55" s="80" t="str">
        <f t="shared" si="43"/>
        <v>ALTO</v>
      </c>
      <c r="AV55" s="80" t="str">
        <f>_xlfn.IFNA(VLOOKUP(AD55,[9]Tipologías!$B$3:$G$17,4,0),"")</f>
        <v>INFORMACIÓN PÚBLICA CLASIFICADA</v>
      </c>
      <c r="AW55" s="124" t="str">
        <f t="shared" si="41"/>
        <v>IPC</v>
      </c>
      <c r="AX55" s="80" t="str">
        <f>_xlfn.IFNA(VLOOKUP(AD55,[9]Tipologías!$B$3:$G$17,3,0),"")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5" s="80" t="str">
        <f>_xlfn.IFNA(VLOOKUP(AD55,[9]Tipologías!$B$3:$G$17,5,0),"")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5" s="80" t="str">
        <f>_xlfn.IFNA(VLOOKUP(AD55,[9]Tipologías!$B$3:$G$17,6,0),"")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5" s="168" t="s">
        <v>197</v>
      </c>
      <c r="BB55" s="169">
        <v>45105</v>
      </c>
      <c r="BC55" s="168" t="s">
        <v>201</v>
      </c>
      <c r="BD55" s="170" t="s">
        <v>534</v>
      </c>
      <c r="BE55" s="170" t="s">
        <v>515</v>
      </c>
      <c r="BF55" s="45"/>
      <c r="BG55" s="45"/>
      <c r="BH55" s="45"/>
      <c r="BI55" s="45"/>
      <c r="BJ55" s="45"/>
      <c r="BK55" s="45"/>
      <c r="BL55" s="45"/>
      <c r="BM55" s="45"/>
      <c r="BN55" s="45"/>
      <c r="BO55" s="45"/>
      <c r="BP55" s="45"/>
      <c r="BQ55" s="45"/>
      <c r="BR55" s="45"/>
      <c r="BS55" s="45"/>
      <c r="BT55" s="45"/>
      <c r="BU55" s="45"/>
      <c r="BV55" s="45"/>
      <c r="BW55" s="45"/>
      <c r="BX55" s="45"/>
    </row>
    <row r="56" spans="1:76" s="67" customFormat="1" ht="207.75" customHeight="1" x14ac:dyDescent="0.2">
      <c r="A56" s="76">
        <v>47</v>
      </c>
      <c r="B56" s="117" t="s">
        <v>62</v>
      </c>
      <c r="C56" s="117" t="s">
        <v>311</v>
      </c>
      <c r="D56" s="120" t="s">
        <v>278</v>
      </c>
      <c r="E56" s="120" t="s">
        <v>535</v>
      </c>
      <c r="F56" s="131" t="s">
        <v>536</v>
      </c>
      <c r="G56" s="117" t="s">
        <v>205</v>
      </c>
      <c r="H56" s="131" t="s">
        <v>530</v>
      </c>
      <c r="I56" s="131" t="s">
        <v>524</v>
      </c>
      <c r="J56" s="151" t="s">
        <v>319</v>
      </c>
      <c r="K56" s="120" t="s">
        <v>320</v>
      </c>
      <c r="L56" s="118" t="s">
        <v>321</v>
      </c>
      <c r="M56" s="118" t="s">
        <v>530</v>
      </c>
      <c r="N56" s="118" t="s">
        <v>537</v>
      </c>
      <c r="O56" s="125" t="s">
        <v>146</v>
      </c>
      <c r="P56" s="120" t="s">
        <v>513</v>
      </c>
      <c r="Q56" s="119" t="s">
        <v>325</v>
      </c>
      <c r="R56" s="119" t="s">
        <v>195</v>
      </c>
      <c r="S56" s="120" t="s">
        <v>538</v>
      </c>
      <c r="T56" s="120" t="s">
        <v>535</v>
      </c>
      <c r="U56" s="121" t="s">
        <v>328</v>
      </c>
      <c r="V56" s="121" t="s">
        <v>329</v>
      </c>
      <c r="W56" s="121" t="s">
        <v>328</v>
      </c>
      <c r="X56" s="121" t="s">
        <v>195</v>
      </c>
      <c r="Y56" s="121" t="s">
        <v>195</v>
      </c>
      <c r="Z56" s="121" t="s">
        <v>195</v>
      </c>
      <c r="AA56" s="121" t="s">
        <v>195</v>
      </c>
      <c r="AB56" s="121" t="s">
        <v>195</v>
      </c>
      <c r="AC56" s="158" t="s">
        <v>195</v>
      </c>
      <c r="AD56" s="163" t="s">
        <v>206</v>
      </c>
      <c r="AE56" s="163" t="s">
        <v>132</v>
      </c>
      <c r="AF56" s="121" t="s">
        <v>539</v>
      </c>
      <c r="AG56" s="121" t="s">
        <v>102</v>
      </c>
      <c r="AH56" s="127" t="str">
        <f>_xlfn.IFNA((AS52),"")</f>
        <v>BAJO</v>
      </c>
      <c r="AI56" s="123" t="s">
        <v>109</v>
      </c>
      <c r="AJ56" s="121" t="s">
        <v>121</v>
      </c>
      <c r="AK56" s="127" t="str">
        <f t="shared" si="42"/>
        <v>BAJO</v>
      </c>
      <c r="AL56" s="124" t="str">
        <f>VLOOKUP($AD56,[8]Tipologías!$B$3:$G$17,2,FALSE)</f>
        <v>ALTO</v>
      </c>
      <c r="AM56" s="124">
        <f t="shared" si="2"/>
        <v>3</v>
      </c>
      <c r="AN56" s="124" t="str">
        <f>VLOOKUP($AE56,[8]Tipologías!$A$21:$C$24,3,FALSE)</f>
        <v>MEDIO</v>
      </c>
      <c r="AO56" s="124">
        <f t="shared" si="3"/>
        <v>2</v>
      </c>
      <c r="AP56" s="124">
        <f>VLOOKUP($AI56,[8]Tipologías!$A$38:$B$42,2,FALSE)</f>
        <v>0</v>
      </c>
      <c r="AQ56" s="124">
        <f>VLOOKUP($AJ56,[8]Tipologías!$A$46:$B$53,2,FALSE)</f>
        <v>1.25</v>
      </c>
      <c r="AR56" s="124" t="str">
        <f t="shared" si="38"/>
        <v>ALTO</v>
      </c>
      <c r="AS56" s="124" t="str">
        <f>VLOOKUP($AG56,[8]Tipologías!$A$29:$C$33,3,FALSE)</f>
        <v>MEDIO</v>
      </c>
      <c r="AT56" s="124" t="str">
        <f t="shared" si="39"/>
        <v>BAJO</v>
      </c>
      <c r="AU56" s="80" t="str">
        <f t="shared" si="43"/>
        <v>MEDIO</v>
      </c>
      <c r="AV56" s="80" t="str">
        <f>_xlfn.IFNA(VLOOKUP(AD56,[9]Tipologías!$B$3:$G$17,4,0),"")</f>
        <v>INFORMACIÓN PÚBLICA CLASIFICADA</v>
      </c>
      <c r="AW56" s="124" t="str">
        <f t="shared" si="41"/>
        <v>IPC</v>
      </c>
      <c r="AX56" s="80" t="str">
        <f>_xlfn.IFNA(VLOOKUP(AD56,[9]Tipologías!$B$3:$G$17,3,0),"")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56" s="80" t="str">
        <f>_xlfn.IFNA(VLOOKUP(AD56,[9]Tipologías!$B$3:$G$17,5,0),"")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56" s="80" t="str">
        <f>_xlfn.IFNA(VLOOKUP(AD56,[9]Tipologías!$B$3:$G$17,6,0),"")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56" s="168" t="s">
        <v>197</v>
      </c>
      <c r="BB56" s="169">
        <v>45105</v>
      </c>
      <c r="BC56" s="168" t="s">
        <v>201</v>
      </c>
      <c r="BD56" s="170" t="s">
        <v>534</v>
      </c>
      <c r="BE56" s="170" t="s">
        <v>515</v>
      </c>
      <c r="BF56" s="45"/>
      <c r="BG56" s="45"/>
      <c r="BH56" s="45"/>
      <c r="BI56" s="45"/>
      <c r="BJ56" s="45"/>
      <c r="BK56" s="45"/>
      <c r="BL56" s="45"/>
      <c r="BM56" s="45"/>
      <c r="BN56" s="45"/>
      <c r="BO56" s="45"/>
      <c r="BP56" s="45"/>
      <c r="BQ56" s="45"/>
      <c r="BR56" s="45"/>
      <c r="BS56" s="45"/>
      <c r="BT56" s="45"/>
      <c r="BU56" s="45"/>
      <c r="BV56" s="45"/>
      <c r="BW56" s="45"/>
      <c r="BX56" s="45"/>
    </row>
    <row r="57" spans="1:76" s="67" customFormat="1" ht="207.75" customHeight="1" x14ac:dyDescent="0.2">
      <c r="A57" s="76">
        <v>48</v>
      </c>
      <c r="B57" s="74" t="s">
        <v>59</v>
      </c>
      <c r="C57" s="74" t="s">
        <v>303</v>
      </c>
      <c r="D57" s="100" t="s">
        <v>279</v>
      </c>
      <c r="E57" s="100" t="s">
        <v>541</v>
      </c>
      <c r="F57" s="75" t="s">
        <v>542</v>
      </c>
      <c r="G57" s="74" t="s">
        <v>205</v>
      </c>
      <c r="H57" s="75" t="s">
        <v>543</v>
      </c>
      <c r="I57" s="75" t="s">
        <v>543</v>
      </c>
      <c r="J57" s="107" t="s">
        <v>319</v>
      </c>
      <c r="K57" s="100" t="s">
        <v>320</v>
      </c>
      <c r="L57" s="75" t="s">
        <v>321</v>
      </c>
      <c r="M57" s="75" t="s">
        <v>497</v>
      </c>
      <c r="N57" s="75" t="s">
        <v>544</v>
      </c>
      <c r="O57" s="116" t="s">
        <v>150</v>
      </c>
      <c r="P57" s="100" t="s">
        <v>545</v>
      </c>
      <c r="Q57" s="100" t="s">
        <v>325</v>
      </c>
      <c r="R57" s="100"/>
      <c r="S57" s="100" t="s">
        <v>546</v>
      </c>
      <c r="T57" s="100" t="s">
        <v>546</v>
      </c>
      <c r="U57" s="77" t="s">
        <v>329</v>
      </c>
      <c r="V57" s="77" t="s">
        <v>195</v>
      </c>
      <c r="W57" s="77" t="s">
        <v>195</v>
      </c>
      <c r="X57" s="77" t="s">
        <v>195</v>
      </c>
      <c r="Y57" s="77" t="s">
        <v>195</v>
      </c>
      <c r="Z57" s="77" t="s">
        <v>195</v>
      </c>
      <c r="AA57" s="77" t="s">
        <v>195</v>
      </c>
      <c r="AB57" s="77" t="s">
        <v>195</v>
      </c>
      <c r="AC57" s="138" t="s">
        <v>195</v>
      </c>
      <c r="AD57" s="142" t="s">
        <v>208</v>
      </c>
      <c r="AE57" s="142" t="s">
        <v>134</v>
      </c>
      <c r="AF57" s="136" t="str">
        <f t="shared" ref="AF57:AF64" si="45">AR57</f>
        <v>ALTO</v>
      </c>
      <c r="AG57" s="77" t="s">
        <v>102</v>
      </c>
      <c r="AH57" s="136" t="str">
        <f t="shared" ref="AH57:AH65" si="46">_xlfn.IFNA((AS57),"")</f>
        <v>MEDIO</v>
      </c>
      <c r="AI57" s="78" t="s">
        <v>111</v>
      </c>
      <c r="AJ57" s="77" t="s">
        <v>119</v>
      </c>
      <c r="AK57" s="136" t="str">
        <f t="shared" si="42"/>
        <v>MEDIO</v>
      </c>
      <c r="AL57" s="80" t="str">
        <f>VLOOKUP($AD57,[10]Tipologías!$B$3:$G$17,2,FALSE)</f>
        <v>ALTO</v>
      </c>
      <c r="AM57" s="80">
        <f t="shared" si="2"/>
        <v>3</v>
      </c>
      <c r="AN57" s="80" t="str">
        <f>VLOOKUP($AE57,[10]Tipologías!$A$21:$C$24,3,FALSE)</f>
        <v>ALTO</v>
      </c>
      <c r="AO57" s="80">
        <f t="shared" si="3"/>
        <v>3</v>
      </c>
      <c r="AP57" s="80">
        <f>VLOOKUP($AI57,[10]Tipologías!$A$38:$B$42,2,FALSE)</f>
        <v>0.5</v>
      </c>
      <c r="AQ57" s="80">
        <f>VLOOKUP($AJ57,[10]Tipologías!$A$46:$B$53,2,FALSE)</f>
        <v>2</v>
      </c>
      <c r="AR57" s="80" t="str">
        <f>IF(MAX(AM57,AO57)=3,"ALTO",IF(MAX(AM57,AO57)=2,"MEDIO",IF(MAX(AM57,AO57)=1,"BAJO","  ")))</f>
        <v>ALTO</v>
      </c>
      <c r="AS57" s="80" t="str">
        <f>VLOOKUP($AG57,[10]Tipologías!$A$29:$C$33,3,FALSE)</f>
        <v>MEDIO</v>
      </c>
      <c r="AT57" s="80" t="str">
        <f>IF(SUM($AP57,$AQ57)&gt;=3,"ALTO",IF(SUM($AP57,$AQ57)&lt;2,"BAJO","MEDIO"))</f>
        <v>MEDIO</v>
      </c>
      <c r="AU57" s="80" t="str">
        <f>_xlfn.IFNA(IF(AND(AR57="BAJO",AS57="BAJO",AT57="BAJO"),"BAJO",IF(AND(AR57="ALTO",AS57="ALTO",AT57="ALTO"),"ALTO",IF(COUNTIF(AR57:AT57,"ALTO")=2,"ALTO","MEDIO")))," ")</f>
        <v>MEDIO</v>
      </c>
      <c r="AV57" s="80" t="str">
        <f>_xlfn.IFNA(VLOOKUP(AD57,[10]Tipologías!$B$3:$G$17,4,0),"")</f>
        <v>INFORMACIÓN PÚBLICA CLASIFICADA</v>
      </c>
      <c r="AW57" s="80" t="str">
        <f>IF(AV57="INFORMACIÓN PÚBLICA","IPB",IF(AV57="INFORMACIÓN PÚBLICA CLASIFICADA","IPC",IF(AV57="INFORMACIÓN PÚBLICA RESERVADA","IPR",IF(AV57="",""))))</f>
        <v>IPC</v>
      </c>
      <c r="AX57" s="80" t="str">
        <f>_xlfn.IFNA(VLOOKUP(AD57,[10]Tipologías!$B$3:$G$17,3,0),"")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57" s="80" t="str">
        <f>_xlfn.IFNA(VLOOKUP(AD57,[10]Tipologías!$B$3:$G$17,5,0),"")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57" s="80" t="str">
        <f>_xlfn.IFNA(VLOOKUP(AD57,[10]Tipologías!$B$3:$G$17,6,0),"")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57" s="148" t="s">
        <v>197</v>
      </c>
      <c r="BB57" s="166">
        <v>45133</v>
      </c>
      <c r="BC57" s="148" t="s">
        <v>224</v>
      </c>
      <c r="BD57" s="146" t="s">
        <v>547</v>
      </c>
      <c r="BE57" s="146" t="s">
        <v>548</v>
      </c>
      <c r="BF57" s="45"/>
      <c r="BG57" s="45"/>
      <c r="BH57" s="45"/>
      <c r="BI57" s="45"/>
      <c r="BJ57" s="45"/>
      <c r="BK57" s="45"/>
      <c r="BL57" s="45"/>
      <c r="BM57" s="45"/>
      <c r="BN57" s="45"/>
      <c r="BO57" s="45"/>
      <c r="BP57" s="45"/>
      <c r="BQ57" s="45"/>
      <c r="BR57" s="45"/>
      <c r="BS57" s="45"/>
      <c r="BT57" s="45"/>
      <c r="BU57" s="45"/>
      <c r="BV57" s="45"/>
      <c r="BW57" s="45"/>
      <c r="BX57" s="45"/>
    </row>
    <row r="58" spans="1:76" s="68" customFormat="1" ht="207.75" customHeight="1" x14ac:dyDescent="0.2">
      <c r="A58" s="76">
        <v>49</v>
      </c>
      <c r="B58" s="74" t="s">
        <v>59</v>
      </c>
      <c r="C58" s="74" t="s">
        <v>303</v>
      </c>
      <c r="D58" s="100" t="s">
        <v>279</v>
      </c>
      <c r="E58" s="100" t="s">
        <v>549</v>
      </c>
      <c r="F58" s="75" t="s">
        <v>550</v>
      </c>
      <c r="G58" s="74" t="s">
        <v>205</v>
      </c>
      <c r="H58" s="75" t="s">
        <v>543</v>
      </c>
      <c r="I58" s="75" t="s">
        <v>543</v>
      </c>
      <c r="J58" s="107" t="s">
        <v>319</v>
      </c>
      <c r="K58" s="100" t="s">
        <v>320</v>
      </c>
      <c r="L58" s="75" t="s">
        <v>321</v>
      </c>
      <c r="M58" s="75" t="s">
        <v>497</v>
      </c>
      <c r="N58" s="75" t="s">
        <v>544</v>
      </c>
      <c r="O58" s="116" t="s">
        <v>150</v>
      </c>
      <c r="P58" s="100" t="s">
        <v>545</v>
      </c>
      <c r="Q58" s="100" t="s">
        <v>325</v>
      </c>
      <c r="R58" s="100"/>
      <c r="S58" s="100" t="s">
        <v>546</v>
      </c>
      <c r="T58" s="100" t="s">
        <v>546</v>
      </c>
      <c r="U58" s="77" t="s">
        <v>329</v>
      </c>
      <c r="V58" s="77" t="s">
        <v>195</v>
      </c>
      <c r="W58" s="77" t="s">
        <v>195</v>
      </c>
      <c r="X58" s="77" t="s">
        <v>195</v>
      </c>
      <c r="Y58" s="77" t="s">
        <v>195</v>
      </c>
      <c r="Z58" s="77" t="s">
        <v>195</v>
      </c>
      <c r="AA58" s="77" t="s">
        <v>195</v>
      </c>
      <c r="AB58" s="77" t="s">
        <v>195</v>
      </c>
      <c r="AC58" s="138" t="s">
        <v>195</v>
      </c>
      <c r="AD58" s="142" t="s">
        <v>208</v>
      </c>
      <c r="AE58" s="142" t="s">
        <v>134</v>
      </c>
      <c r="AF58" s="136" t="str">
        <f t="shared" si="45"/>
        <v>ALTO</v>
      </c>
      <c r="AG58" s="77" t="s">
        <v>102</v>
      </c>
      <c r="AH58" s="136" t="str">
        <f t="shared" si="46"/>
        <v>MEDIO</v>
      </c>
      <c r="AI58" s="78" t="s">
        <v>111</v>
      </c>
      <c r="AJ58" s="77" t="s">
        <v>121</v>
      </c>
      <c r="AK58" s="136" t="str">
        <f t="shared" si="42"/>
        <v>BAJO</v>
      </c>
      <c r="AL58" s="80" t="str">
        <f>VLOOKUP($AD58,[10]Tipologías!$B$3:$G$17,2,FALSE)</f>
        <v>ALTO</v>
      </c>
      <c r="AM58" s="80">
        <f t="shared" si="2"/>
        <v>3</v>
      </c>
      <c r="AN58" s="80" t="str">
        <f>VLOOKUP($AE58,[10]Tipologías!$A$21:$C$24,3,FALSE)</f>
        <v>ALTO</v>
      </c>
      <c r="AO58" s="80">
        <f t="shared" si="3"/>
        <v>3</v>
      </c>
      <c r="AP58" s="80">
        <f>VLOOKUP($AI58,[10]Tipologías!$A$38:$B$42,2,FALSE)</f>
        <v>0.5</v>
      </c>
      <c r="AQ58" s="80">
        <f>VLOOKUP($AJ58,[10]Tipologías!$A$46:$B$53,2,FALSE)</f>
        <v>1.25</v>
      </c>
      <c r="AR58" s="80" t="str">
        <f t="shared" ref="AR58:AR64" si="47">IF(MAX(AM58,AO58)=3,"ALTO",IF(MAX(AM58,AO58)=2,"MEDIO",IF(MAX(AM58,AO58)=1,"BAJO","  ")))</f>
        <v>ALTO</v>
      </c>
      <c r="AS58" s="80" t="str">
        <f>VLOOKUP($AG58,[10]Tipologías!$A$29:$C$33,3,FALSE)</f>
        <v>MEDIO</v>
      </c>
      <c r="AT58" s="80" t="str">
        <f t="shared" ref="AT58:AT64" si="48">IF(SUM($AP58,$AQ58)&gt;=3,"ALTO",IF(SUM($AP58,$AQ58)&lt;2,"BAJO","MEDIO"))</f>
        <v>BAJO</v>
      </c>
      <c r="AU58" s="80" t="str">
        <f t="shared" ref="AU58:AU64" si="49">_xlfn.IFNA(IF(AND(AR58="BAJO",AS58="BAJO",AT58="BAJO"),"BAJO",IF(AND(AR58="ALTO",AS58="ALTO",AT58="ALTO"),"ALTO",IF(COUNTIF(AR58:AT58,"ALTO")=2,"ALTO","MEDIO")))," ")</f>
        <v>MEDIO</v>
      </c>
      <c r="AV58" s="80" t="str">
        <f>_xlfn.IFNA(VLOOKUP(AD58,[10]Tipologías!$B$3:$G$17,4,0),"")</f>
        <v>INFORMACIÓN PÚBLICA CLASIFICADA</v>
      </c>
      <c r="AW58" s="80" t="str">
        <f t="shared" ref="AW58:AW64" si="50">IF(AV58="INFORMACIÓN PÚBLICA","IPB",IF(AV58="INFORMACIÓN PÚBLICA CLASIFICADA","IPC",IF(AV58="INFORMACIÓN PÚBLICA RESERVADA","IPR",IF(AV58="",""))))</f>
        <v>IPC</v>
      </c>
      <c r="AX58" s="80" t="str">
        <f>_xlfn.IFNA(VLOOKUP(AD58,[10]Tipologías!$B$3:$G$17,3,0),"")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58" s="80" t="str">
        <f>_xlfn.IFNA(VLOOKUP(AD58,[10]Tipologías!$B$3:$G$17,5,0),"")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58" s="80" t="str">
        <f>_xlfn.IFNA(VLOOKUP(AD58,[10]Tipologías!$B$3:$G$17,6,0),"")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58" s="148" t="s">
        <v>197</v>
      </c>
      <c r="BB58" s="166">
        <v>45133</v>
      </c>
      <c r="BC58" s="148" t="s">
        <v>224</v>
      </c>
      <c r="BD58" s="146" t="s">
        <v>547</v>
      </c>
      <c r="BE58" s="146" t="s">
        <v>548</v>
      </c>
      <c r="BF58" s="45"/>
      <c r="BG58" s="45"/>
      <c r="BH58" s="45"/>
      <c r="BI58" s="45"/>
      <c r="BJ58" s="45"/>
      <c r="BK58" s="45"/>
      <c r="BL58" s="45"/>
      <c r="BM58" s="45"/>
      <c r="BN58" s="45"/>
      <c r="BO58" s="45"/>
      <c r="BP58" s="45"/>
      <c r="BQ58" s="45"/>
      <c r="BR58" s="45"/>
      <c r="BS58" s="45"/>
      <c r="BT58" s="45"/>
      <c r="BU58" s="45"/>
      <c r="BV58" s="45"/>
      <c r="BW58" s="45"/>
      <c r="BX58" s="45"/>
    </row>
    <row r="59" spans="1:76" s="67" customFormat="1" ht="207.75" customHeight="1" x14ac:dyDescent="0.2">
      <c r="A59" s="76">
        <v>50</v>
      </c>
      <c r="B59" s="74" t="s">
        <v>59</v>
      </c>
      <c r="C59" s="74" t="s">
        <v>303</v>
      </c>
      <c r="D59" s="100" t="s">
        <v>279</v>
      </c>
      <c r="E59" s="100" t="s">
        <v>551</v>
      </c>
      <c r="F59" s="75" t="s">
        <v>552</v>
      </c>
      <c r="G59" s="74" t="s">
        <v>141</v>
      </c>
      <c r="H59" s="75" t="s">
        <v>543</v>
      </c>
      <c r="I59" s="75" t="s">
        <v>543</v>
      </c>
      <c r="J59" s="107" t="s">
        <v>336</v>
      </c>
      <c r="K59" s="100" t="s">
        <v>320</v>
      </c>
      <c r="L59" s="75" t="s">
        <v>321</v>
      </c>
      <c r="M59" s="116" t="s">
        <v>195</v>
      </c>
      <c r="N59" s="75" t="s">
        <v>544</v>
      </c>
      <c r="O59" s="116" t="s">
        <v>146</v>
      </c>
      <c r="P59" s="100" t="s">
        <v>553</v>
      </c>
      <c r="Q59" s="100" t="s">
        <v>325</v>
      </c>
      <c r="R59" s="100"/>
      <c r="S59" s="100" t="s">
        <v>546</v>
      </c>
      <c r="T59" s="100" t="s">
        <v>546</v>
      </c>
      <c r="U59" s="77" t="s">
        <v>329</v>
      </c>
      <c r="V59" s="77" t="s">
        <v>195</v>
      </c>
      <c r="W59" s="77" t="s">
        <v>195</v>
      </c>
      <c r="X59" s="77" t="s">
        <v>195</v>
      </c>
      <c r="Y59" s="77" t="s">
        <v>195</v>
      </c>
      <c r="Z59" s="77" t="s">
        <v>195</v>
      </c>
      <c r="AA59" s="77" t="s">
        <v>195</v>
      </c>
      <c r="AB59" s="77" t="s">
        <v>195</v>
      </c>
      <c r="AC59" s="138" t="s">
        <v>195</v>
      </c>
      <c r="AD59" s="142" t="s">
        <v>208</v>
      </c>
      <c r="AE59" s="142" t="s">
        <v>134</v>
      </c>
      <c r="AF59" s="136" t="str">
        <f t="shared" si="45"/>
        <v>ALTO</v>
      </c>
      <c r="AG59" s="77" t="s">
        <v>104</v>
      </c>
      <c r="AH59" s="136" t="str">
        <f t="shared" si="46"/>
        <v>ALTO</v>
      </c>
      <c r="AI59" s="78" t="s">
        <v>113</v>
      </c>
      <c r="AJ59" s="77" t="s">
        <v>120</v>
      </c>
      <c r="AK59" s="136" t="str">
        <f t="shared" si="42"/>
        <v>MEDIO</v>
      </c>
      <c r="AL59" s="80" t="str">
        <f>VLOOKUP($AD59,[10]Tipologías!$B$3:$G$17,2,FALSE)</f>
        <v>ALTO</v>
      </c>
      <c r="AM59" s="80">
        <f t="shared" si="2"/>
        <v>3</v>
      </c>
      <c r="AN59" s="80" t="str">
        <f>VLOOKUP($AE59,[10]Tipologías!$A$21:$C$24,3,FALSE)</f>
        <v>ALTO</v>
      </c>
      <c r="AO59" s="80">
        <f t="shared" si="3"/>
        <v>3</v>
      </c>
      <c r="AP59" s="80">
        <f>VLOOKUP($AI59,[10]Tipologías!$A$38:$B$42,2,FALSE)</f>
        <v>1</v>
      </c>
      <c r="AQ59" s="80">
        <f>VLOOKUP($AJ59,[10]Tipologías!$A$46:$B$53,2,FALSE)</f>
        <v>1.5</v>
      </c>
      <c r="AR59" s="80" t="str">
        <f t="shared" si="47"/>
        <v>ALTO</v>
      </c>
      <c r="AS59" s="80" t="str">
        <f>VLOOKUP($AG59,[10]Tipologías!$A$29:$C$33,3,FALSE)</f>
        <v>ALTO</v>
      </c>
      <c r="AT59" s="80" t="str">
        <f t="shared" si="48"/>
        <v>MEDIO</v>
      </c>
      <c r="AU59" s="80" t="str">
        <f t="shared" si="49"/>
        <v>ALTO</v>
      </c>
      <c r="AV59" s="80" t="str">
        <f>_xlfn.IFNA(VLOOKUP(AD59,[10]Tipologías!$B$3:$G$17,4,0),"")</f>
        <v>INFORMACIÓN PÚBLICA CLASIFICADA</v>
      </c>
      <c r="AW59" s="80" t="str">
        <f t="shared" si="50"/>
        <v>IPC</v>
      </c>
      <c r="AX59" s="80" t="str">
        <f>_xlfn.IFNA(VLOOKUP(AD59,[10]Tipologías!$B$3:$G$17,3,0),"")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59" s="80" t="str">
        <f>_xlfn.IFNA(VLOOKUP(AD59,[10]Tipologías!$B$3:$G$17,5,0),"")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59" s="80" t="str">
        <f>_xlfn.IFNA(VLOOKUP(AD59,[10]Tipologías!$B$3:$G$17,6,0),"")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59" s="148" t="s">
        <v>197</v>
      </c>
      <c r="BB59" s="166">
        <v>45133</v>
      </c>
      <c r="BC59" s="148" t="s">
        <v>201</v>
      </c>
      <c r="BD59" s="146" t="s">
        <v>547</v>
      </c>
      <c r="BE59" s="146" t="s">
        <v>548</v>
      </c>
      <c r="BF59" s="45"/>
      <c r="BG59" s="45"/>
      <c r="BH59" s="45"/>
      <c r="BI59" s="45"/>
      <c r="BJ59" s="45"/>
      <c r="BK59" s="45"/>
      <c r="BL59" s="45"/>
      <c r="BM59" s="45"/>
      <c r="BN59" s="45"/>
      <c r="BO59" s="45"/>
      <c r="BP59" s="45"/>
      <c r="BQ59" s="45"/>
      <c r="BR59" s="45"/>
      <c r="BS59" s="45"/>
      <c r="BT59" s="45"/>
      <c r="BU59" s="45"/>
      <c r="BV59" s="45"/>
      <c r="BW59" s="45"/>
      <c r="BX59" s="45"/>
    </row>
    <row r="60" spans="1:76" s="68" customFormat="1" ht="207.75" customHeight="1" x14ac:dyDescent="0.2">
      <c r="A60" s="76">
        <v>51</v>
      </c>
      <c r="B60" s="74" t="s">
        <v>59</v>
      </c>
      <c r="C60" s="74" t="s">
        <v>303</v>
      </c>
      <c r="D60" s="100" t="s">
        <v>279</v>
      </c>
      <c r="E60" s="100" t="s">
        <v>551</v>
      </c>
      <c r="F60" s="75" t="s">
        <v>554</v>
      </c>
      <c r="G60" s="74" t="s">
        <v>174</v>
      </c>
      <c r="H60" s="75" t="s">
        <v>543</v>
      </c>
      <c r="I60" s="75" t="s">
        <v>543</v>
      </c>
      <c r="J60" s="107" t="s">
        <v>336</v>
      </c>
      <c r="K60" s="100" t="s">
        <v>320</v>
      </c>
      <c r="L60" s="75" t="s">
        <v>321</v>
      </c>
      <c r="M60" s="116" t="s">
        <v>195</v>
      </c>
      <c r="N60" s="75" t="s">
        <v>555</v>
      </c>
      <c r="O60" s="116" t="s">
        <v>146</v>
      </c>
      <c r="P60" s="100" t="s">
        <v>556</v>
      </c>
      <c r="Q60" s="100" t="s">
        <v>325</v>
      </c>
      <c r="R60" s="100" t="s">
        <v>325</v>
      </c>
      <c r="S60" s="100" t="s">
        <v>546</v>
      </c>
      <c r="T60" s="100" t="s">
        <v>546</v>
      </c>
      <c r="U60" s="77" t="s">
        <v>328</v>
      </c>
      <c r="V60" s="77" t="s">
        <v>328</v>
      </c>
      <c r="W60" s="77" t="s">
        <v>328</v>
      </c>
      <c r="X60" s="77" t="s">
        <v>329</v>
      </c>
      <c r="Y60" s="77" t="s">
        <v>328</v>
      </c>
      <c r="Z60" s="77" t="s">
        <v>328</v>
      </c>
      <c r="AA60" s="77" t="s">
        <v>328</v>
      </c>
      <c r="AB60" s="77" t="s">
        <v>329</v>
      </c>
      <c r="AC60" s="138" t="s">
        <v>195</v>
      </c>
      <c r="AD60" s="142" t="s">
        <v>206</v>
      </c>
      <c r="AE60" s="142" t="s">
        <v>134</v>
      </c>
      <c r="AF60" s="136" t="str">
        <f t="shared" si="45"/>
        <v>ALTO</v>
      </c>
      <c r="AG60" s="77" t="s">
        <v>104</v>
      </c>
      <c r="AH60" s="136" t="str">
        <f t="shared" si="46"/>
        <v>ALTO</v>
      </c>
      <c r="AI60" s="78" t="s">
        <v>111</v>
      </c>
      <c r="AJ60" s="77" t="s">
        <v>122</v>
      </c>
      <c r="AK60" s="136" t="str">
        <f t="shared" si="42"/>
        <v>BAJO</v>
      </c>
      <c r="AL60" s="80" t="str">
        <f>VLOOKUP($AD60,[10]Tipologías!$B$3:$G$17,2,FALSE)</f>
        <v>ALTO</v>
      </c>
      <c r="AM60" s="80">
        <f t="shared" si="2"/>
        <v>3</v>
      </c>
      <c r="AN60" s="80" t="str">
        <f>VLOOKUP($AE60,[10]Tipologías!$A$21:$C$24,3,FALSE)</f>
        <v>ALTO</v>
      </c>
      <c r="AO60" s="80">
        <f t="shared" si="3"/>
        <v>3</v>
      </c>
      <c r="AP60" s="80">
        <f>VLOOKUP($AI60,[10]Tipologías!$A$38:$B$42,2,FALSE)</f>
        <v>0.5</v>
      </c>
      <c r="AQ60" s="80">
        <f>VLOOKUP($AJ60,[10]Tipologías!$A$46:$B$53,2,FALSE)</f>
        <v>1</v>
      </c>
      <c r="AR60" s="80" t="str">
        <f t="shared" si="47"/>
        <v>ALTO</v>
      </c>
      <c r="AS60" s="80" t="str">
        <f>VLOOKUP($AG60,[10]Tipologías!$A$29:$C$33,3,FALSE)</f>
        <v>ALTO</v>
      </c>
      <c r="AT60" s="80" t="str">
        <f t="shared" si="48"/>
        <v>BAJO</v>
      </c>
      <c r="AU60" s="80" t="str">
        <f t="shared" si="49"/>
        <v>ALTO</v>
      </c>
      <c r="AV60" s="80" t="str">
        <f>_xlfn.IFNA(VLOOKUP(AD60,[10]Tipologías!$B$3:$G$17,4,0),"")</f>
        <v>INFORMACIÓN PÚBLICA CLASIFICADA</v>
      </c>
      <c r="AW60" s="80" t="str">
        <f t="shared" si="50"/>
        <v>IPC</v>
      </c>
      <c r="AX60" s="80" t="str">
        <f>_xlfn.IFNA(VLOOKUP(AD60,[10]Tipologías!$B$3:$G$17,3,0),"")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60" s="80" t="str">
        <f>_xlfn.IFNA(VLOOKUP(AD60,[10]Tipologías!$B$3:$G$17,5,0),"")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60" s="80" t="str">
        <f>_xlfn.IFNA(VLOOKUP(AD60,[10]Tipologías!$B$3:$G$17,6,0),"")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60" s="148" t="s">
        <v>196</v>
      </c>
      <c r="BB60" s="166">
        <v>45133</v>
      </c>
      <c r="BC60" s="148" t="s">
        <v>201</v>
      </c>
      <c r="BD60" s="146" t="s">
        <v>547</v>
      </c>
      <c r="BE60" s="146" t="s">
        <v>548</v>
      </c>
      <c r="BF60" s="45"/>
      <c r="BG60" s="45"/>
      <c r="BH60" s="45"/>
      <c r="BI60" s="45"/>
      <c r="BJ60" s="45"/>
      <c r="BK60" s="45"/>
      <c r="BL60" s="45"/>
      <c r="BM60" s="45"/>
      <c r="BN60" s="45"/>
      <c r="BO60" s="45"/>
      <c r="BP60" s="45"/>
      <c r="BQ60" s="45"/>
      <c r="BR60" s="45"/>
      <c r="BS60" s="45"/>
      <c r="BT60" s="45"/>
      <c r="BU60" s="45"/>
      <c r="BV60" s="45"/>
      <c r="BW60" s="45"/>
      <c r="BX60" s="45"/>
    </row>
    <row r="61" spans="1:76" s="67" customFormat="1" ht="207.75" customHeight="1" x14ac:dyDescent="0.2">
      <c r="A61" s="76">
        <v>52</v>
      </c>
      <c r="B61" s="74" t="s">
        <v>59</v>
      </c>
      <c r="C61" s="74" t="s">
        <v>303</v>
      </c>
      <c r="D61" s="100" t="s">
        <v>279</v>
      </c>
      <c r="E61" s="100" t="s">
        <v>557</v>
      </c>
      <c r="F61" s="75" t="s">
        <v>558</v>
      </c>
      <c r="G61" s="74" t="s">
        <v>174</v>
      </c>
      <c r="H61" s="75" t="s">
        <v>543</v>
      </c>
      <c r="I61" s="75" t="s">
        <v>543</v>
      </c>
      <c r="J61" s="107" t="s">
        <v>336</v>
      </c>
      <c r="K61" s="100" t="s">
        <v>320</v>
      </c>
      <c r="L61" s="75" t="s">
        <v>321</v>
      </c>
      <c r="M61" s="116" t="s">
        <v>195</v>
      </c>
      <c r="N61" s="75" t="s">
        <v>559</v>
      </c>
      <c r="O61" s="116" t="s">
        <v>146</v>
      </c>
      <c r="P61" s="100" t="s">
        <v>560</v>
      </c>
      <c r="Q61" s="100" t="s">
        <v>325</v>
      </c>
      <c r="R61" s="100" t="s">
        <v>325</v>
      </c>
      <c r="S61" s="100" t="s">
        <v>546</v>
      </c>
      <c r="T61" s="100" t="s">
        <v>546</v>
      </c>
      <c r="U61" s="77" t="s">
        <v>328</v>
      </c>
      <c r="V61" s="77" t="s">
        <v>328</v>
      </c>
      <c r="W61" s="77" t="s">
        <v>328</v>
      </c>
      <c r="X61" s="77" t="s">
        <v>329</v>
      </c>
      <c r="Y61" s="77" t="s">
        <v>328</v>
      </c>
      <c r="Z61" s="77" t="s">
        <v>329</v>
      </c>
      <c r="AA61" s="77" t="s">
        <v>328</v>
      </c>
      <c r="AB61" s="77" t="s">
        <v>328</v>
      </c>
      <c r="AC61" s="138" t="s">
        <v>195</v>
      </c>
      <c r="AD61" s="142" t="s">
        <v>206</v>
      </c>
      <c r="AE61" s="142" t="s">
        <v>134</v>
      </c>
      <c r="AF61" s="136" t="str">
        <f t="shared" si="45"/>
        <v>ALTO</v>
      </c>
      <c r="AG61" s="77" t="s">
        <v>102</v>
      </c>
      <c r="AH61" s="136" t="str">
        <f t="shared" si="46"/>
        <v>MEDIO</v>
      </c>
      <c r="AI61" s="78" t="s">
        <v>114</v>
      </c>
      <c r="AJ61" s="77" t="s">
        <v>121</v>
      </c>
      <c r="AK61" s="136" t="str">
        <f t="shared" si="42"/>
        <v>MEDIO</v>
      </c>
      <c r="AL61" s="80" t="str">
        <f>VLOOKUP($AD61,[10]Tipologías!$B$3:$G$17,2,FALSE)</f>
        <v>ALTO</v>
      </c>
      <c r="AM61" s="80">
        <f t="shared" si="2"/>
        <v>3</v>
      </c>
      <c r="AN61" s="80" t="str">
        <f>VLOOKUP($AE61,[10]Tipologías!$A$21:$C$24,3,FALSE)</f>
        <v>ALTO</v>
      </c>
      <c r="AO61" s="80">
        <f t="shared" si="3"/>
        <v>3</v>
      </c>
      <c r="AP61" s="80">
        <f>VLOOKUP($AI61,[10]Tipologías!$A$38:$B$42,2,FALSE)</f>
        <v>1.5</v>
      </c>
      <c r="AQ61" s="80">
        <f>VLOOKUP($AJ61,[10]Tipologías!$A$46:$B$53,2,FALSE)</f>
        <v>1.25</v>
      </c>
      <c r="AR61" s="80" t="str">
        <f t="shared" si="47"/>
        <v>ALTO</v>
      </c>
      <c r="AS61" s="80" t="str">
        <f>VLOOKUP($AG61,[10]Tipologías!$A$29:$C$33,3,FALSE)</f>
        <v>MEDIO</v>
      </c>
      <c r="AT61" s="80" t="str">
        <f t="shared" si="48"/>
        <v>MEDIO</v>
      </c>
      <c r="AU61" s="80" t="str">
        <f t="shared" si="49"/>
        <v>MEDIO</v>
      </c>
      <c r="AV61" s="80" t="str">
        <f>_xlfn.IFNA(VLOOKUP(AD61,[10]Tipologías!$B$3:$G$17,4,0),"")</f>
        <v>INFORMACIÓN PÚBLICA CLASIFICADA</v>
      </c>
      <c r="AW61" s="80" t="str">
        <f t="shared" si="50"/>
        <v>IPC</v>
      </c>
      <c r="AX61" s="80" t="str">
        <f>_xlfn.IFNA(VLOOKUP(AD61,[10]Tipologías!$B$3:$G$17,3,0),"")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61" s="80" t="str">
        <f>_xlfn.IFNA(VLOOKUP(AD61,[10]Tipologías!$B$3:$G$17,5,0),"")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61" s="80" t="str">
        <f>_xlfn.IFNA(VLOOKUP(AD61,[10]Tipologías!$B$3:$G$17,6,0),"")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61" s="148" t="s">
        <v>196</v>
      </c>
      <c r="BB61" s="166">
        <v>45133</v>
      </c>
      <c r="BC61" s="148" t="s">
        <v>201</v>
      </c>
      <c r="BD61" s="146" t="s">
        <v>547</v>
      </c>
      <c r="BE61" s="146" t="s">
        <v>548</v>
      </c>
      <c r="BF61" s="45"/>
      <c r="BG61" s="45"/>
      <c r="BH61" s="45"/>
      <c r="BI61" s="45"/>
      <c r="BJ61" s="45"/>
      <c r="BK61" s="45"/>
      <c r="BL61" s="45"/>
      <c r="BM61" s="45"/>
      <c r="BN61" s="45"/>
      <c r="BO61" s="45"/>
      <c r="BP61" s="45"/>
      <c r="BQ61" s="45"/>
      <c r="BR61" s="45"/>
      <c r="BS61" s="45"/>
      <c r="BT61" s="45"/>
      <c r="BU61" s="45"/>
      <c r="BV61" s="45"/>
      <c r="BW61" s="45"/>
      <c r="BX61" s="45"/>
    </row>
    <row r="62" spans="1:76" s="67" customFormat="1" ht="207.75" customHeight="1" x14ac:dyDescent="0.2">
      <c r="A62" s="76">
        <v>53</v>
      </c>
      <c r="B62" s="74" t="s">
        <v>59</v>
      </c>
      <c r="C62" s="74" t="s">
        <v>303</v>
      </c>
      <c r="D62" s="100" t="s">
        <v>279</v>
      </c>
      <c r="E62" s="100" t="s">
        <v>557</v>
      </c>
      <c r="F62" s="75" t="s">
        <v>561</v>
      </c>
      <c r="G62" s="74" t="s">
        <v>199</v>
      </c>
      <c r="H62" s="75" t="s">
        <v>543</v>
      </c>
      <c r="I62" s="75" t="s">
        <v>543</v>
      </c>
      <c r="J62" s="107" t="s">
        <v>336</v>
      </c>
      <c r="K62" s="100" t="s">
        <v>320</v>
      </c>
      <c r="L62" s="75" t="s">
        <v>321</v>
      </c>
      <c r="M62" s="116" t="s">
        <v>195</v>
      </c>
      <c r="N62" s="75" t="s">
        <v>559</v>
      </c>
      <c r="O62" s="116" t="s">
        <v>146</v>
      </c>
      <c r="P62" s="100" t="s">
        <v>560</v>
      </c>
      <c r="Q62" s="100" t="s">
        <v>325</v>
      </c>
      <c r="R62" s="100" t="s">
        <v>325</v>
      </c>
      <c r="S62" s="100" t="s">
        <v>546</v>
      </c>
      <c r="T62" s="100" t="s">
        <v>546</v>
      </c>
      <c r="U62" s="77" t="s">
        <v>328</v>
      </c>
      <c r="V62" s="77" t="s">
        <v>329</v>
      </c>
      <c r="W62" s="77" t="s">
        <v>328</v>
      </c>
      <c r="X62" s="77" t="s">
        <v>329</v>
      </c>
      <c r="Y62" s="77" t="s">
        <v>328</v>
      </c>
      <c r="Z62" s="77" t="s">
        <v>329</v>
      </c>
      <c r="AA62" s="77" t="s">
        <v>195</v>
      </c>
      <c r="AB62" s="77" t="s">
        <v>328</v>
      </c>
      <c r="AC62" s="138" t="s">
        <v>195</v>
      </c>
      <c r="AD62" s="142" t="s">
        <v>206</v>
      </c>
      <c r="AE62" s="142" t="s">
        <v>132</v>
      </c>
      <c r="AF62" s="136" t="str">
        <f t="shared" si="45"/>
        <v>ALTO</v>
      </c>
      <c r="AG62" s="77" t="s">
        <v>104</v>
      </c>
      <c r="AH62" s="136" t="str">
        <f t="shared" si="46"/>
        <v>ALTO</v>
      </c>
      <c r="AI62" s="78" t="s">
        <v>114</v>
      </c>
      <c r="AJ62" s="77" t="s">
        <v>121</v>
      </c>
      <c r="AK62" s="136" t="str">
        <f t="shared" si="42"/>
        <v>MEDIO</v>
      </c>
      <c r="AL62" s="80" t="str">
        <f>VLOOKUP($AD62,[10]Tipologías!$B$3:$G$17,2,FALSE)</f>
        <v>ALTO</v>
      </c>
      <c r="AM62" s="80">
        <f t="shared" si="2"/>
        <v>3</v>
      </c>
      <c r="AN62" s="80" t="str">
        <f>VLOOKUP($AE62,[10]Tipologías!$A$21:$C$24,3,FALSE)</f>
        <v>MEDIO</v>
      </c>
      <c r="AO62" s="80">
        <f t="shared" si="3"/>
        <v>2</v>
      </c>
      <c r="AP62" s="80">
        <f>VLOOKUP($AI62,[10]Tipologías!$A$38:$B$42,2,FALSE)</f>
        <v>1.5</v>
      </c>
      <c r="AQ62" s="80">
        <f>VLOOKUP($AJ62,[10]Tipologías!$A$46:$B$53,2,FALSE)</f>
        <v>1.25</v>
      </c>
      <c r="AR62" s="80" t="str">
        <f t="shared" si="47"/>
        <v>ALTO</v>
      </c>
      <c r="AS62" s="80" t="str">
        <f>VLOOKUP($AG62,[10]Tipologías!$A$29:$C$33,3,FALSE)</f>
        <v>ALTO</v>
      </c>
      <c r="AT62" s="80" t="str">
        <f t="shared" si="48"/>
        <v>MEDIO</v>
      </c>
      <c r="AU62" s="80" t="str">
        <f t="shared" si="49"/>
        <v>ALTO</v>
      </c>
      <c r="AV62" s="80" t="str">
        <f>_xlfn.IFNA(VLOOKUP(AD62,[10]Tipologías!$B$3:$G$17,4,0),"")</f>
        <v>INFORMACIÓN PÚBLICA CLASIFICADA</v>
      </c>
      <c r="AW62" s="80" t="str">
        <f t="shared" si="50"/>
        <v>IPC</v>
      </c>
      <c r="AX62" s="80" t="str">
        <f>_xlfn.IFNA(VLOOKUP(AD62,[10]Tipologías!$B$3:$G$17,3,0),"")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62" s="80" t="str">
        <f>_xlfn.IFNA(VLOOKUP(AD62,[10]Tipologías!$B$3:$G$17,5,0),"")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62" s="80" t="str">
        <f>_xlfn.IFNA(VLOOKUP(AD62,[10]Tipologías!$B$3:$G$17,6,0),"")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62" s="148" t="s">
        <v>196</v>
      </c>
      <c r="BB62" s="166">
        <v>45133</v>
      </c>
      <c r="BC62" s="148" t="s">
        <v>201</v>
      </c>
      <c r="BD62" s="146" t="s">
        <v>547</v>
      </c>
      <c r="BE62" s="146" t="s">
        <v>548</v>
      </c>
      <c r="BF62" s="45"/>
      <c r="BG62" s="45"/>
      <c r="BH62" s="45"/>
      <c r="BI62" s="45"/>
      <c r="BJ62" s="45"/>
      <c r="BK62" s="45"/>
      <c r="BL62" s="45"/>
      <c r="BM62" s="45"/>
      <c r="BN62" s="45"/>
      <c r="BO62" s="45"/>
      <c r="BP62" s="45"/>
      <c r="BQ62" s="45"/>
      <c r="BR62" s="45"/>
      <c r="BS62" s="45"/>
      <c r="BT62" s="45"/>
      <c r="BU62" s="45"/>
      <c r="BV62" s="45"/>
      <c r="BW62" s="45"/>
      <c r="BX62" s="45"/>
    </row>
    <row r="63" spans="1:76" s="67" customFormat="1" ht="207.75" customHeight="1" x14ac:dyDescent="0.2">
      <c r="A63" s="76">
        <v>54</v>
      </c>
      <c r="B63" s="74" t="s">
        <v>59</v>
      </c>
      <c r="C63" s="74" t="s">
        <v>303</v>
      </c>
      <c r="D63" s="100" t="s">
        <v>279</v>
      </c>
      <c r="E63" s="100" t="s">
        <v>557</v>
      </c>
      <c r="F63" s="75" t="s">
        <v>562</v>
      </c>
      <c r="G63" s="74" t="s">
        <v>141</v>
      </c>
      <c r="H63" s="75" t="s">
        <v>543</v>
      </c>
      <c r="I63" s="75" t="s">
        <v>543</v>
      </c>
      <c r="J63" s="107" t="s">
        <v>336</v>
      </c>
      <c r="K63" s="100" t="s">
        <v>320</v>
      </c>
      <c r="L63" s="75" t="s">
        <v>321</v>
      </c>
      <c r="M63" s="75" t="s">
        <v>563</v>
      </c>
      <c r="N63" s="75" t="s">
        <v>559</v>
      </c>
      <c r="O63" s="116" t="s">
        <v>151</v>
      </c>
      <c r="P63" s="100" t="s">
        <v>545</v>
      </c>
      <c r="Q63" s="100"/>
      <c r="R63" s="100" t="s">
        <v>325</v>
      </c>
      <c r="S63" s="100" t="s">
        <v>546</v>
      </c>
      <c r="T63" s="100" t="s">
        <v>546</v>
      </c>
      <c r="U63" s="77" t="s">
        <v>329</v>
      </c>
      <c r="V63" s="77" t="s">
        <v>195</v>
      </c>
      <c r="W63" s="77" t="s">
        <v>195</v>
      </c>
      <c r="X63" s="77" t="s">
        <v>195</v>
      </c>
      <c r="Y63" s="77" t="s">
        <v>195</v>
      </c>
      <c r="Z63" s="77" t="s">
        <v>195</v>
      </c>
      <c r="AA63" s="77" t="s">
        <v>195</v>
      </c>
      <c r="AB63" s="77" t="s">
        <v>195</v>
      </c>
      <c r="AC63" s="138" t="s">
        <v>195</v>
      </c>
      <c r="AD63" s="142" t="s">
        <v>207</v>
      </c>
      <c r="AE63" s="142" t="s">
        <v>130</v>
      </c>
      <c r="AF63" s="136" t="str">
        <f t="shared" si="45"/>
        <v>ALTO</v>
      </c>
      <c r="AG63" s="77" t="s">
        <v>104</v>
      </c>
      <c r="AH63" s="136" t="str">
        <f t="shared" si="46"/>
        <v>ALTO</v>
      </c>
      <c r="AI63" s="78" t="s">
        <v>114</v>
      </c>
      <c r="AJ63" s="77" t="s">
        <v>117</v>
      </c>
      <c r="AK63" s="136" t="str">
        <f t="shared" si="42"/>
        <v>ALTO</v>
      </c>
      <c r="AL63" s="80" t="str">
        <f>VLOOKUP($AD63,[10]Tipologías!$B$3:$G$17,2,FALSE)</f>
        <v>ALTO</v>
      </c>
      <c r="AM63" s="80">
        <f t="shared" si="2"/>
        <v>3</v>
      </c>
      <c r="AN63" s="80" t="str">
        <f>VLOOKUP($AE63,[10]Tipologías!$A$21:$C$24,3,FALSE)</f>
        <v>BAJO</v>
      </c>
      <c r="AO63" s="80">
        <f t="shared" si="3"/>
        <v>1</v>
      </c>
      <c r="AP63" s="80">
        <f>VLOOKUP($AI63,[10]Tipologías!$A$38:$B$42,2,FALSE)</f>
        <v>1.5</v>
      </c>
      <c r="AQ63" s="80">
        <f>VLOOKUP($AJ63,[10]Tipologías!$A$46:$B$53,2,FALSE)</f>
        <v>2.5</v>
      </c>
      <c r="AR63" s="80" t="str">
        <f t="shared" si="47"/>
        <v>ALTO</v>
      </c>
      <c r="AS63" s="80" t="str">
        <f>VLOOKUP($AG63,[10]Tipologías!$A$29:$C$33,3,FALSE)</f>
        <v>ALTO</v>
      </c>
      <c r="AT63" s="80" t="str">
        <f t="shared" si="48"/>
        <v>ALTO</v>
      </c>
      <c r="AU63" s="80" t="str">
        <f t="shared" si="49"/>
        <v>ALTO</v>
      </c>
      <c r="AV63" s="80" t="str">
        <f>_xlfn.IFNA(VLOOKUP(AD63,[10]Tipologías!$B$3:$G$17,4,0),"")</f>
        <v>INFORMACIÓN PÚBLICA CLASIFICADA</v>
      </c>
      <c r="AW63" s="80" t="str">
        <f t="shared" si="50"/>
        <v>IPC</v>
      </c>
      <c r="AX63" s="80" t="str">
        <f>_xlfn.IFNA(VLOOKUP(AD63,[10]Tipologías!$B$3:$G$17,3,0),"")</f>
        <v>LEY 1712 DE 2014, ARTÍCULO 18 CORREGIDO POR EL ARTÍCULO 2 DEL DECRETO LEY 1494 DE 2015. INFORMACIÓN EXCEPTUADA POR DAÑO DE DERECHOS A PERSONAS NATURALES O JURÍDICAS, LITERAL B "EL DERECHO DE TODA PERSONA A LA VIDA, LA SALUD O LA SEGURIDAD."</v>
      </c>
      <c r="AY63" s="80" t="str">
        <f>_xlfn.IFNA(VLOOKUP(AD63,[10]Tipologías!$B$3:$G$17,5,0),"")</f>
        <v xml:space="preserve">LEY 1712 DE 2014 ARTÍCULO 6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3. INVOLUCREN DERECHOS A LA PRIVACIDAD E INTIMIDAD DE LAS PERSONAS, HOJAS DE VIDA, HISTORIA LABORAL, EXPEDIENTE PENSIONAL HISTORIA CLÍNICA  5. DATOS REFERENTES A LA INFORMACIÓN FINANCIERA Y COMERCIAL EN LOS TÉRMINOS DE LA LEY ESTATUTARIA 1266 DE 2008. 6. PROTEGIDOS POR SECRETO COMERCIAL O INDUSTRIAL, ASÍ COMO LOS PLANES ESTRATÉGICOS DE LAS EMPRESAS PUBLICAS DE SERVICIOS PÚBLICOS. 7 AMPARADOS POR SECRETO PROFESIONAL Y 8 LOS DATOS GENÉTICOS HUMANOS. 
</v>
      </c>
      <c r="AZ63" s="80" t="str">
        <f>_xlfn.IFNA(VLOOKUP(AD63,[10]Tipologías!$B$3:$G$17,6,0),"")</f>
        <v xml:space="preserve">LEY 1266 DE 2008 HÁBEAS DATA – INFORMACIÓN CONTENIDA EN BASES DE DATOS PERSONALES, EN ESPECIAL LA FINANCIERA, CREDITICIA, COMERCIAL , DE SERVICIOS Y LOS PROVENIENTES DE TERCEROS PAÍSES. ARTÍCULO 4 NUMERAL 3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
</v>
      </c>
      <c r="BA63" s="148" t="s">
        <v>198</v>
      </c>
      <c r="BB63" s="166">
        <v>45133</v>
      </c>
      <c r="BC63" s="148" t="s">
        <v>195</v>
      </c>
      <c r="BD63" s="146" t="s">
        <v>547</v>
      </c>
      <c r="BE63" s="146" t="s">
        <v>548</v>
      </c>
      <c r="BF63" s="45"/>
      <c r="BG63" s="45"/>
      <c r="BH63" s="45"/>
      <c r="BI63" s="45"/>
      <c r="BJ63" s="45"/>
      <c r="BK63" s="45"/>
      <c r="BL63" s="45"/>
      <c r="BM63" s="45"/>
      <c r="BN63" s="45"/>
      <c r="BO63" s="45"/>
      <c r="BP63" s="45"/>
      <c r="BQ63" s="45"/>
      <c r="BR63" s="45"/>
      <c r="BS63" s="45"/>
      <c r="BT63" s="45"/>
      <c r="BU63" s="45"/>
      <c r="BV63" s="45"/>
      <c r="BW63" s="45"/>
      <c r="BX63" s="45"/>
    </row>
    <row r="64" spans="1:76" s="68" customFormat="1" ht="207.75" customHeight="1" x14ac:dyDescent="0.2">
      <c r="A64" s="76">
        <v>55</v>
      </c>
      <c r="B64" s="74" t="s">
        <v>59</v>
      </c>
      <c r="C64" s="74" t="s">
        <v>303</v>
      </c>
      <c r="D64" s="100" t="s">
        <v>279</v>
      </c>
      <c r="E64" s="100" t="s">
        <v>564</v>
      </c>
      <c r="F64" s="75" t="s">
        <v>565</v>
      </c>
      <c r="G64" s="74" t="s">
        <v>173</v>
      </c>
      <c r="H64" s="75" t="s">
        <v>543</v>
      </c>
      <c r="I64" s="75" t="s">
        <v>543</v>
      </c>
      <c r="J64" s="100" t="s">
        <v>195</v>
      </c>
      <c r="K64" s="100" t="s">
        <v>320</v>
      </c>
      <c r="L64" s="116" t="s">
        <v>195</v>
      </c>
      <c r="M64" s="116" t="s">
        <v>195</v>
      </c>
      <c r="N64" s="75" t="s">
        <v>195</v>
      </c>
      <c r="O64" s="116" t="s">
        <v>144</v>
      </c>
      <c r="P64" s="100" t="s">
        <v>195</v>
      </c>
      <c r="Q64" s="100" t="s">
        <v>325</v>
      </c>
      <c r="R64" s="100" t="s">
        <v>325</v>
      </c>
      <c r="S64" s="100" t="s">
        <v>195</v>
      </c>
      <c r="T64" s="100" t="s">
        <v>195</v>
      </c>
      <c r="U64" s="77" t="s">
        <v>329</v>
      </c>
      <c r="V64" s="77" t="s">
        <v>195</v>
      </c>
      <c r="W64" s="77" t="s">
        <v>195</v>
      </c>
      <c r="X64" s="77" t="s">
        <v>195</v>
      </c>
      <c r="Y64" s="77" t="s">
        <v>195</v>
      </c>
      <c r="Z64" s="77" t="s">
        <v>195</v>
      </c>
      <c r="AA64" s="77" t="s">
        <v>195</v>
      </c>
      <c r="AB64" s="77" t="s">
        <v>195</v>
      </c>
      <c r="AC64" s="138" t="s">
        <v>195</v>
      </c>
      <c r="AD64" s="142" t="s">
        <v>208</v>
      </c>
      <c r="AE64" s="142" t="s">
        <v>134</v>
      </c>
      <c r="AF64" s="136" t="str">
        <f t="shared" si="45"/>
        <v>ALTO</v>
      </c>
      <c r="AG64" s="77" t="s">
        <v>104</v>
      </c>
      <c r="AH64" s="136" t="str">
        <f t="shared" si="46"/>
        <v>ALTO</v>
      </c>
      <c r="AI64" s="78" t="s">
        <v>113</v>
      </c>
      <c r="AJ64" s="77" t="s">
        <v>120</v>
      </c>
      <c r="AK64" s="136" t="str">
        <f t="shared" si="42"/>
        <v>MEDIO</v>
      </c>
      <c r="AL64" s="80" t="str">
        <f>VLOOKUP($AD64,[10]Tipologías!$B$3:$G$17,2,FALSE)</f>
        <v>ALTO</v>
      </c>
      <c r="AM64" s="80">
        <f t="shared" si="2"/>
        <v>3</v>
      </c>
      <c r="AN64" s="80" t="str">
        <f>VLOOKUP($AE64,[10]Tipologías!$A$21:$C$24,3,FALSE)</f>
        <v>ALTO</v>
      </c>
      <c r="AO64" s="80">
        <f t="shared" si="3"/>
        <v>3</v>
      </c>
      <c r="AP64" s="80">
        <f>VLOOKUP($AI64,[10]Tipologías!$A$38:$B$42,2,FALSE)</f>
        <v>1</v>
      </c>
      <c r="AQ64" s="80">
        <f>VLOOKUP($AJ64,[10]Tipologías!$A$46:$B$53,2,FALSE)</f>
        <v>1.5</v>
      </c>
      <c r="AR64" s="80" t="str">
        <f t="shared" si="47"/>
        <v>ALTO</v>
      </c>
      <c r="AS64" s="80" t="str">
        <f>VLOOKUP($AG64,[10]Tipologías!$A$29:$C$33,3,FALSE)</f>
        <v>ALTO</v>
      </c>
      <c r="AT64" s="80" t="str">
        <f t="shared" si="48"/>
        <v>MEDIO</v>
      </c>
      <c r="AU64" s="80" t="str">
        <f t="shared" si="49"/>
        <v>ALTO</v>
      </c>
      <c r="AV64" s="80" t="str">
        <f>_xlfn.IFNA(VLOOKUP(AD64,[10]Tipologías!$B$3:$G$17,4,0),"")</f>
        <v>INFORMACIÓN PÚBLICA CLASIFICADA</v>
      </c>
      <c r="AW64" s="80" t="str">
        <f t="shared" si="50"/>
        <v>IPC</v>
      </c>
      <c r="AX64" s="80" t="str">
        <f>_xlfn.IFNA(VLOOKUP(AD64,[10]Tipologías!$B$3:$G$17,3,0),"")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64" s="80" t="str">
        <f>_xlfn.IFNA(VLOOKUP(AD64,[10]Tipologías!$B$3:$G$17,5,0),"")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64" s="80" t="str">
        <f>_xlfn.IFNA(VLOOKUP(AD64,[10]Tipologías!$B$3:$G$17,6,0),"")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64" s="148" t="s">
        <v>195</v>
      </c>
      <c r="BB64" s="166">
        <v>45133</v>
      </c>
      <c r="BC64" s="148" t="s">
        <v>195</v>
      </c>
      <c r="BD64" s="146" t="s">
        <v>547</v>
      </c>
      <c r="BE64" s="146" t="s">
        <v>548</v>
      </c>
      <c r="BF64" s="45"/>
      <c r="BG64" s="45"/>
      <c r="BH64" s="45"/>
      <c r="BI64" s="45"/>
      <c r="BJ64" s="45"/>
      <c r="BK64" s="45"/>
      <c r="BL64" s="45"/>
      <c r="BM64" s="45"/>
      <c r="BN64" s="45"/>
      <c r="BO64" s="45"/>
      <c r="BP64" s="45"/>
      <c r="BQ64" s="45"/>
      <c r="BR64" s="45"/>
      <c r="BS64" s="45"/>
      <c r="BT64" s="45"/>
      <c r="BU64" s="45"/>
      <c r="BV64" s="45"/>
      <c r="BW64" s="45"/>
      <c r="BX64" s="45"/>
    </row>
    <row r="65" spans="1:76" s="67" customFormat="1" ht="207.75" customHeight="1" x14ac:dyDescent="0.2">
      <c r="A65" s="76">
        <v>56</v>
      </c>
      <c r="B65" s="107" t="s">
        <v>59</v>
      </c>
      <c r="C65" s="107" t="s">
        <v>303</v>
      </c>
      <c r="D65" s="100" t="s">
        <v>280</v>
      </c>
      <c r="E65" s="100" t="s">
        <v>566</v>
      </c>
      <c r="F65" s="100" t="s">
        <v>567</v>
      </c>
      <c r="G65" s="107" t="s">
        <v>174</v>
      </c>
      <c r="H65" s="100" t="s">
        <v>568</v>
      </c>
      <c r="I65" s="100" t="s">
        <v>568</v>
      </c>
      <c r="J65" s="107" t="s">
        <v>336</v>
      </c>
      <c r="K65" s="100" t="s">
        <v>320</v>
      </c>
      <c r="L65" s="100" t="s">
        <v>321</v>
      </c>
      <c r="M65" s="100" t="s">
        <v>195</v>
      </c>
      <c r="N65" s="100" t="s">
        <v>569</v>
      </c>
      <c r="O65" s="100" t="s">
        <v>151</v>
      </c>
      <c r="P65" s="100" t="s">
        <v>570</v>
      </c>
      <c r="Q65" s="76" t="s">
        <v>195</v>
      </c>
      <c r="R65" s="76" t="s">
        <v>325</v>
      </c>
      <c r="S65" s="100" t="s">
        <v>195</v>
      </c>
      <c r="T65" s="100" t="s">
        <v>195</v>
      </c>
      <c r="U65" s="77" t="s">
        <v>328</v>
      </c>
      <c r="V65" s="77" t="s">
        <v>328</v>
      </c>
      <c r="W65" s="77" t="s">
        <v>328</v>
      </c>
      <c r="X65" s="77" t="s">
        <v>329</v>
      </c>
      <c r="Y65" s="77" t="s">
        <v>329</v>
      </c>
      <c r="Z65" s="77" t="s">
        <v>329</v>
      </c>
      <c r="AA65" s="77" t="s">
        <v>328</v>
      </c>
      <c r="AB65" s="77" t="s">
        <v>328</v>
      </c>
      <c r="AC65" s="138" t="s">
        <v>195</v>
      </c>
      <c r="AD65" s="146" t="s">
        <v>206</v>
      </c>
      <c r="AE65" s="146" t="s">
        <v>134</v>
      </c>
      <c r="AF65" s="136" t="s">
        <v>92</v>
      </c>
      <c r="AG65" s="77" t="s">
        <v>102</v>
      </c>
      <c r="AH65" s="136" t="str">
        <f t="shared" si="46"/>
        <v>MEDIO</v>
      </c>
      <c r="AI65" s="77" t="s">
        <v>113</v>
      </c>
      <c r="AJ65" s="77" t="s">
        <v>121</v>
      </c>
      <c r="AK65" s="136" t="s">
        <v>103</v>
      </c>
      <c r="AL65" s="80" t="s">
        <v>92</v>
      </c>
      <c r="AM65" s="80">
        <v>3</v>
      </c>
      <c r="AN65" s="80" t="s">
        <v>92</v>
      </c>
      <c r="AO65" s="80">
        <v>3</v>
      </c>
      <c r="AP65" s="80">
        <v>1</v>
      </c>
      <c r="AQ65" s="80">
        <v>1.25</v>
      </c>
      <c r="AR65" s="80" t="s">
        <v>92</v>
      </c>
      <c r="AS65" s="80" t="s">
        <v>103</v>
      </c>
      <c r="AT65" s="80" t="s">
        <v>103</v>
      </c>
      <c r="AU65" s="80" t="s">
        <v>103</v>
      </c>
      <c r="AV65" s="80" t="s">
        <v>93</v>
      </c>
      <c r="AW65" s="80" t="s">
        <v>571</v>
      </c>
      <c r="AX65" s="80" t="str">
        <f>_xlfn.IFNA(VLOOKUP(AD65,[10]Tipologías!$B$3:$G$17,3,0),"")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65" s="80" t="str">
        <f>_xlfn.IFNA(VLOOKUP(AD65,[10]Tipologías!$B$3:$G$17,5,0),"")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65" s="80" t="str">
        <f>_xlfn.IFNA(VLOOKUP(AD65,[10]Tipologías!$B$3:$G$17,6,0),"")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65" s="148" t="s">
        <v>197</v>
      </c>
      <c r="BB65" s="166">
        <v>45133</v>
      </c>
      <c r="BC65" s="148" t="s">
        <v>201</v>
      </c>
      <c r="BD65" s="146" t="s">
        <v>572</v>
      </c>
      <c r="BE65" s="146" t="s">
        <v>573</v>
      </c>
      <c r="BF65" s="45"/>
      <c r="BG65" s="45"/>
      <c r="BH65" s="45"/>
      <c r="BI65" s="45"/>
      <c r="BJ65" s="45"/>
      <c r="BK65" s="45"/>
      <c r="BL65" s="45"/>
      <c r="BM65" s="45"/>
      <c r="BN65" s="45"/>
      <c r="BO65" s="45"/>
      <c r="BP65" s="45"/>
      <c r="BQ65" s="45"/>
      <c r="BR65" s="45"/>
      <c r="BS65" s="45"/>
      <c r="BT65" s="45"/>
      <c r="BU65" s="45"/>
      <c r="BV65" s="45"/>
      <c r="BW65" s="45"/>
      <c r="BX65" s="45"/>
    </row>
    <row r="66" spans="1:76" s="68" customFormat="1" ht="207.75" customHeight="1" x14ac:dyDescent="0.2">
      <c r="A66" s="76">
        <v>57</v>
      </c>
      <c r="B66" s="74" t="s">
        <v>59</v>
      </c>
      <c r="C66" s="111" t="s">
        <v>164</v>
      </c>
      <c r="D66" s="100" t="s">
        <v>271</v>
      </c>
      <c r="E66" s="100" t="s">
        <v>395</v>
      </c>
      <c r="F66" s="110" t="s">
        <v>574</v>
      </c>
      <c r="G66" s="74" t="s">
        <v>139</v>
      </c>
      <c r="H66" s="111" t="s">
        <v>575</v>
      </c>
      <c r="I66" s="111" t="s">
        <v>575</v>
      </c>
      <c r="J66" s="152" t="s">
        <v>397</v>
      </c>
      <c r="K66" s="155" t="s">
        <v>320</v>
      </c>
      <c r="L66" s="134" t="s">
        <v>321</v>
      </c>
      <c r="M66" s="111" t="s">
        <v>575</v>
      </c>
      <c r="N66" s="111" t="s">
        <v>195</v>
      </c>
      <c r="O66" s="157" t="s">
        <v>151</v>
      </c>
      <c r="P66" s="157" t="s">
        <v>195</v>
      </c>
      <c r="Q66" s="76" t="s">
        <v>325</v>
      </c>
      <c r="R66" s="76" t="s">
        <v>325</v>
      </c>
      <c r="S66" s="157" t="s">
        <v>195</v>
      </c>
      <c r="T66" s="157" t="s">
        <v>195</v>
      </c>
      <c r="U66" s="77" t="s">
        <v>328</v>
      </c>
      <c r="V66" s="77" t="s">
        <v>328</v>
      </c>
      <c r="W66" s="77" t="s">
        <v>328</v>
      </c>
      <c r="X66" s="77" t="s">
        <v>329</v>
      </c>
      <c r="Y66" s="77" t="s">
        <v>329</v>
      </c>
      <c r="Z66" s="77" t="s">
        <v>329</v>
      </c>
      <c r="AA66" s="77" t="s">
        <v>195</v>
      </c>
      <c r="AB66" s="77" t="s">
        <v>195</v>
      </c>
      <c r="AC66" s="157" t="s">
        <v>195</v>
      </c>
      <c r="AD66" s="142" t="s">
        <v>216</v>
      </c>
      <c r="AE66" s="142" t="s">
        <v>134</v>
      </c>
      <c r="AF66" s="136" t="str">
        <f>AR66</f>
        <v>ALTO</v>
      </c>
      <c r="AG66" s="77" t="s">
        <v>101</v>
      </c>
      <c r="AH66" s="136" t="str">
        <f>_xlfn.IFNA((AS66),"")</f>
        <v>BAJO</v>
      </c>
      <c r="AI66" s="135" t="s">
        <v>114</v>
      </c>
      <c r="AJ66" s="77" t="s">
        <v>121</v>
      </c>
      <c r="AK66" s="136" t="str">
        <f t="shared" ref="AK66:AK74" si="51">_xlfn.IFNA((AT66),"")</f>
        <v>MEDIO</v>
      </c>
      <c r="AL66" s="80" t="str">
        <f>VLOOKUP($AD66,[11]Tipologías!$B$3:$G$17,2,FALSE)</f>
        <v>ALTO</v>
      </c>
      <c r="AM66" s="80">
        <f t="shared" ref="AM66:AM129" si="52">IF(AD66="",0,IF(AL66="Bajo",1,IF(AL66="Medio",2,3)))</f>
        <v>3</v>
      </c>
      <c r="AN66" s="80" t="str">
        <f>VLOOKUP($AE66,[11]Tipologías!$A$21:$C$24,3,FALSE)</f>
        <v>ALTO</v>
      </c>
      <c r="AO66" s="80">
        <f t="shared" ref="AO66:AO129" si="53">IF(AE66="",0,IF(AN66="Bajo",1,IF(AN66="Medio",2,3)))</f>
        <v>3</v>
      </c>
      <c r="AP66" s="80">
        <f>VLOOKUP($AI66,[11]Tipologías!$A$38:$B$42,2,FALSE)</f>
        <v>1.5</v>
      </c>
      <c r="AQ66" s="80">
        <f>VLOOKUP($AJ66,[11]Tipologías!$A$46:$B$53,2,FALSE)</f>
        <v>1.25</v>
      </c>
      <c r="AR66" s="80" t="str">
        <f t="shared" ref="AR66:AR67" si="54">IF(MAX(AM66,AO66)=3,"ALTO",IF(MAX(AM66,AO66)=2,"MEDIO",IF(MAX(AM66,AO66)=1,"BAJO","  ")))</f>
        <v>ALTO</v>
      </c>
      <c r="AS66" s="80" t="str">
        <f>VLOOKUP($AG66,[11]Tipologías!$A$29:$C$33,3,FALSE)</f>
        <v>BAJO</v>
      </c>
      <c r="AT66" s="80" t="str">
        <f t="shared" ref="AT66:AT67" si="55">IF(SUM($AP66,$AQ66)&gt;=3,"ALTO",IF(SUM($AP66,$AQ66)&lt;2,"BAJO","MEDIO"))</f>
        <v>MEDIO</v>
      </c>
      <c r="AU66" s="80" t="str">
        <f t="shared" ref="AU66:AU67" si="56">_xlfn.IFNA(IF(AND(AR66="BAJO",AS66="BAJO",AT66="BAJO"),"BAJO",IF(AND(AR66="ALTO",AS66="ALTO",AT66="ALTO"),"ALTO",IF(COUNTIF(AR66:AT66,"ALTO")=2,"ALTO","MEDIO")))," ")</f>
        <v>MEDIO</v>
      </c>
      <c r="AV66" s="80" t="str">
        <f>_xlfn.IFNA(VLOOKUP(AD66,[11]Tipologías!$B$3:$G$17,4,0),"")</f>
        <v>INFORMACIÓN PÚBLICA RESERVADA</v>
      </c>
      <c r="AW66" s="80" t="str">
        <f t="shared" ref="AW66:AW67" si="57">IF(AV66="INFORMACIÓN PÚBLICA","IPB",IF(AV66="INFORMACIÓN PÚBLICA CLASIFICADA","IPC",IF(AV66="INFORMACIÓN PÚBLICA RESERVADA","IPR",IF(AV66="",""))))</f>
        <v>IPR</v>
      </c>
      <c r="AX66" s="80" t="str">
        <f>_xlfn.IFNA(VLOOKUP(AD66,[11]Tipologías!$B$3:$G$17,3,0),"")</f>
        <v>LEY 1712   DE 2014 ARTÍCULO 19 LITERAL H "LA ESTABILIDAD MACROECONÓMICA Y FINANCIERA DEL PAÍS."</v>
      </c>
      <c r="AY66" s="80" t="str">
        <f>_xlfn.IFNA(VLOOKUP(AD66,[11]Tipologías!$B$3:$G$17,5,0),"")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66" s="80" t="str">
        <f>_xlfn.IFNA(VLOOKUP(AD66,[11]Tipologías!$B$3:$G$17,6,0),"")</f>
        <v xml:space="preserve">LEY 1712 DE 2014 ARTÍCULO 19  </v>
      </c>
      <c r="BA66" s="148" t="s">
        <v>196</v>
      </c>
      <c r="BB66" s="166">
        <v>45133</v>
      </c>
      <c r="BC66" s="148" t="s">
        <v>201</v>
      </c>
      <c r="BD66" s="146" t="s">
        <v>576</v>
      </c>
      <c r="BE66" s="146" t="s">
        <v>577</v>
      </c>
      <c r="BF66" s="45"/>
      <c r="BG66" s="45"/>
      <c r="BH66" s="45"/>
      <c r="BI66" s="45"/>
      <c r="BJ66" s="45"/>
      <c r="BK66" s="45"/>
      <c r="BL66" s="45"/>
      <c r="BM66" s="45"/>
      <c r="BN66" s="45"/>
      <c r="BO66" s="45"/>
      <c r="BP66" s="45"/>
      <c r="BQ66" s="45"/>
      <c r="BR66" s="45"/>
      <c r="BS66" s="45"/>
      <c r="BT66" s="45"/>
      <c r="BU66" s="45"/>
      <c r="BV66" s="45"/>
      <c r="BW66" s="45"/>
      <c r="BX66" s="45"/>
    </row>
    <row r="67" spans="1:76" s="68" customFormat="1" ht="207.75" customHeight="1" x14ac:dyDescent="0.2">
      <c r="A67" s="76">
        <v>58</v>
      </c>
      <c r="B67" s="74" t="s">
        <v>59</v>
      </c>
      <c r="C67" s="132" t="s">
        <v>306</v>
      </c>
      <c r="D67" s="100" t="s">
        <v>271</v>
      </c>
      <c r="E67" s="100" t="s">
        <v>578</v>
      </c>
      <c r="F67" s="110" t="s">
        <v>579</v>
      </c>
      <c r="G67" s="74" t="s">
        <v>205</v>
      </c>
      <c r="H67" s="111" t="s">
        <v>575</v>
      </c>
      <c r="I67" s="133" t="s">
        <v>580</v>
      </c>
      <c r="J67" s="107" t="s">
        <v>336</v>
      </c>
      <c r="K67" s="156" t="s">
        <v>320</v>
      </c>
      <c r="L67" s="139" t="s">
        <v>321</v>
      </c>
      <c r="M67" s="109" t="s">
        <v>195</v>
      </c>
      <c r="N67" s="140" t="s">
        <v>581</v>
      </c>
      <c r="O67" s="109" t="s">
        <v>151</v>
      </c>
      <c r="P67" s="109" t="s">
        <v>540</v>
      </c>
      <c r="Q67" s="113" t="s">
        <v>325</v>
      </c>
      <c r="R67" s="113" t="s">
        <v>325</v>
      </c>
      <c r="S67" s="109" t="s">
        <v>355</v>
      </c>
      <c r="T67" s="115" t="s">
        <v>582</v>
      </c>
      <c r="U67" s="108" t="s">
        <v>328</v>
      </c>
      <c r="V67" s="108" t="s">
        <v>328</v>
      </c>
      <c r="W67" s="108" t="s">
        <v>328</v>
      </c>
      <c r="X67" s="108" t="s">
        <v>329</v>
      </c>
      <c r="Y67" s="108" t="s">
        <v>329</v>
      </c>
      <c r="Z67" s="108" t="s">
        <v>329</v>
      </c>
      <c r="AA67" s="108" t="s">
        <v>195</v>
      </c>
      <c r="AB67" s="108" t="s">
        <v>195</v>
      </c>
      <c r="AC67" s="115" t="s">
        <v>195</v>
      </c>
      <c r="AD67" s="110" t="s">
        <v>89</v>
      </c>
      <c r="AE67" s="110" t="s">
        <v>134</v>
      </c>
      <c r="AF67" s="80" t="str">
        <f>AR67</f>
        <v>ALTO</v>
      </c>
      <c r="AG67" s="108" t="s">
        <v>104</v>
      </c>
      <c r="AH67" s="112" t="str">
        <f>_xlfn.IFNA((AS67),"")</f>
        <v>ALTO</v>
      </c>
      <c r="AI67" s="141" t="s">
        <v>115</v>
      </c>
      <c r="AJ67" s="108" t="s">
        <v>120</v>
      </c>
      <c r="AK67" s="112" t="str">
        <f t="shared" si="51"/>
        <v>ALTO</v>
      </c>
      <c r="AL67" s="80" t="str">
        <f>VLOOKUP($AD67,[12]Tipologías!$B$3:$G$17,2,FALSE)</f>
        <v>BAJO</v>
      </c>
      <c r="AM67" s="80">
        <f t="shared" si="52"/>
        <v>1</v>
      </c>
      <c r="AN67" s="80" t="str">
        <f>VLOOKUP($AE67,[12]Tipologías!$A$21:$C$24,3,FALSE)</f>
        <v>ALTO</v>
      </c>
      <c r="AO67" s="80">
        <f t="shared" si="53"/>
        <v>3</v>
      </c>
      <c r="AP67" s="80">
        <f>VLOOKUP($AI67,[12]Tipologías!$A$38:$B$42,2,FALSE)</f>
        <v>2</v>
      </c>
      <c r="AQ67" s="80">
        <f>VLOOKUP($AJ67,[12]Tipologías!$A$46:$B$53,2,FALSE)</f>
        <v>1.5</v>
      </c>
      <c r="AR67" s="80" t="str">
        <f t="shared" si="54"/>
        <v>ALTO</v>
      </c>
      <c r="AS67" s="80" t="str">
        <f>VLOOKUP($AG67,[12]Tipologías!$A$29:$C$33,3,FALSE)</f>
        <v>ALTO</v>
      </c>
      <c r="AT67" s="80" t="str">
        <f t="shared" si="55"/>
        <v>ALTO</v>
      </c>
      <c r="AU67" s="80" t="str">
        <f t="shared" si="56"/>
        <v>ALTO</v>
      </c>
      <c r="AV67" s="80" t="str">
        <f>_xlfn.IFNA(VLOOKUP(AD67,[12]Tipologías!$B$3:$G$17,4,0),"")</f>
        <v>INFORMACIÓN PÚBLICA</v>
      </c>
      <c r="AW67" s="80" t="str">
        <f t="shared" si="57"/>
        <v>IPB</v>
      </c>
      <c r="AX67" s="80" t="str">
        <f>_xlfn.IFNA(VLOOKUP(AD67,[12]Tipologías!$B$3:$G$17,3,0),"")</f>
        <v>LEY 1712 DE 2014 LEY DE TRANSPARENCIA Y DERECHO DE ACCESO A LA INFORMACIÓN. ARTÍCULO 6 DEFINICIONES LITERAL B.</v>
      </c>
      <c r="AY67" s="80" t="str">
        <f>_xlfn.IFNA(VLOOKUP(AD67,[12]Tipologías!$B$3:$G$17,5,0),"")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67" s="80" t="str">
        <f>_xlfn.IFNA(VLOOKUP(AD67,[12]Tipologías!$B$3:$G$17,6,0),"")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67" s="115" t="s">
        <v>197</v>
      </c>
      <c r="BB67" s="167">
        <v>45133</v>
      </c>
      <c r="BC67" s="148" t="s">
        <v>227</v>
      </c>
      <c r="BD67" s="146" t="s">
        <v>576</v>
      </c>
      <c r="BE67" s="115" t="s">
        <v>577</v>
      </c>
      <c r="BF67" s="45"/>
      <c r="BG67" s="45"/>
      <c r="BH67" s="45"/>
      <c r="BI67" s="45"/>
      <c r="BJ67" s="45"/>
      <c r="BK67" s="45"/>
      <c r="BL67" s="45"/>
      <c r="BM67" s="45"/>
      <c r="BN67" s="45"/>
      <c r="BO67" s="45"/>
      <c r="BP67" s="45"/>
      <c r="BQ67" s="45"/>
      <c r="BR67" s="45"/>
      <c r="BS67" s="45"/>
      <c r="BT67" s="45"/>
      <c r="BU67" s="45"/>
      <c r="BV67" s="45"/>
      <c r="BW67" s="45"/>
      <c r="BX67" s="45"/>
    </row>
    <row r="68" spans="1:76" s="67" customFormat="1" ht="207.75" customHeight="1" x14ac:dyDescent="0.2">
      <c r="A68" s="76">
        <v>59</v>
      </c>
      <c r="B68" s="74" t="s">
        <v>59</v>
      </c>
      <c r="C68" s="74" t="s">
        <v>306</v>
      </c>
      <c r="D68" s="100" t="s">
        <v>237</v>
      </c>
      <c r="E68" s="100" t="s">
        <v>583</v>
      </c>
      <c r="F68" s="75" t="s">
        <v>584</v>
      </c>
      <c r="G68" s="74" t="s">
        <v>205</v>
      </c>
      <c r="H68" s="137" t="s">
        <v>237</v>
      </c>
      <c r="I68" s="111" t="s">
        <v>585</v>
      </c>
      <c r="J68" s="107" t="s">
        <v>319</v>
      </c>
      <c r="K68" s="100" t="s">
        <v>320</v>
      </c>
      <c r="L68" s="100" t="s">
        <v>321</v>
      </c>
      <c r="M68" s="100" t="s">
        <v>586</v>
      </c>
      <c r="N68" s="100" t="s">
        <v>587</v>
      </c>
      <c r="O68" s="100" t="s">
        <v>144</v>
      </c>
      <c r="P68" s="100" t="s">
        <v>588</v>
      </c>
      <c r="Q68" s="76" t="s">
        <v>325</v>
      </c>
      <c r="R68" s="76" t="s">
        <v>325</v>
      </c>
      <c r="S68" s="77" t="s">
        <v>589</v>
      </c>
      <c r="T68" s="77" t="s">
        <v>589</v>
      </c>
      <c r="U68" s="77" t="s">
        <v>328</v>
      </c>
      <c r="V68" s="77" t="s">
        <v>328</v>
      </c>
      <c r="W68" s="77" t="s">
        <v>328</v>
      </c>
      <c r="X68" s="77" t="s">
        <v>329</v>
      </c>
      <c r="Y68" s="77" t="s">
        <v>329</v>
      </c>
      <c r="Z68" s="77" t="s">
        <v>329</v>
      </c>
      <c r="AA68" s="76" t="s">
        <v>195</v>
      </c>
      <c r="AB68" s="76" t="s">
        <v>195</v>
      </c>
      <c r="AC68" s="76" t="s">
        <v>590</v>
      </c>
      <c r="AD68" s="142" t="s">
        <v>89</v>
      </c>
      <c r="AE68" s="142" t="s">
        <v>134</v>
      </c>
      <c r="AF68" s="136" t="str">
        <f t="shared" ref="AF68:AF74" si="58">AR68</f>
        <v>ALTO</v>
      </c>
      <c r="AG68" s="77" t="s">
        <v>102</v>
      </c>
      <c r="AH68" s="136" t="str">
        <f t="shared" ref="AH68:AH74" si="59">_xlfn.IFNA((AS68),"")</f>
        <v>MEDIO</v>
      </c>
      <c r="AI68" s="78" t="s">
        <v>115</v>
      </c>
      <c r="AJ68" s="77" t="s">
        <v>117</v>
      </c>
      <c r="AK68" s="136" t="str">
        <f t="shared" si="51"/>
        <v>ALTO</v>
      </c>
      <c r="AL68" s="80" t="str">
        <f>VLOOKUP($AD68,[13]Tipologías!$B$3:$G$17,2,FALSE)</f>
        <v>BAJO</v>
      </c>
      <c r="AM68" s="80">
        <f t="shared" si="52"/>
        <v>1</v>
      </c>
      <c r="AN68" s="80" t="str">
        <f>VLOOKUP($AE68,[13]Tipologías!$A$21:$C$24,3,FALSE)</f>
        <v>ALTO</v>
      </c>
      <c r="AO68" s="80">
        <f t="shared" si="53"/>
        <v>3</v>
      </c>
      <c r="AP68" s="80">
        <f>VLOOKUP($AI68,[13]Tipologías!$A$38:$B$42,2,FALSE)</f>
        <v>2</v>
      </c>
      <c r="AQ68" s="80">
        <f>VLOOKUP($AJ68,[13]Tipologías!$A$46:$B$53,2,FALSE)</f>
        <v>2.5</v>
      </c>
      <c r="AR68" s="80" t="str">
        <f>IF(MAX(AM68,AO68)=3,"ALTO",IF(MAX(AM68,AO68)=2,"MEDIO",IF(MAX(AM68,AO68)=1,"BAJO","  ")))</f>
        <v>ALTO</v>
      </c>
      <c r="AS68" s="80" t="str">
        <f>VLOOKUP($AG68,[13]Tipologías!$A$29:$C$33,3,FALSE)</f>
        <v>MEDIO</v>
      </c>
      <c r="AT68" s="80" t="str">
        <f>IF(SUM($AP68,$AQ68)&gt;=3,"ALTO",IF(SUM($AP68,$AQ68)&lt;2,"BAJO","MEDIO"))</f>
        <v>ALTO</v>
      </c>
      <c r="AU68" s="80" t="str">
        <f>_xlfn.IFNA(IF(AND(AR68="BAJO",AS68="BAJO",AT68="BAJO"),"BAJO",IF(AND(AR68="ALTO",AS68="ALTO",AT68="ALTO"),"ALTO",IF(COUNTIF(AR68:AT68,"ALTO")=2,"ALTO","MEDIO")))," ")</f>
        <v>ALTO</v>
      </c>
      <c r="AV68" s="80" t="str">
        <f>_xlfn.IFNA(VLOOKUP(AD68,[13]Tipologías!$B$3:$G$17,4,0),"")</f>
        <v>INFORMACIÓN PÚBLICA</v>
      </c>
      <c r="AW68" s="80" t="str">
        <f>IF(AV68="INFORMACIÓN PÚBLICA","IPB",IF(AV68="INFORMACIÓN PÚBLICA CLASIFICADA","IPC",IF(AV68="INFORMACIÓN PÚBLICA RESERVADA","IPR",IF(AV68="",""))))</f>
        <v>IPB</v>
      </c>
      <c r="AX68" s="80" t="str">
        <f>_xlfn.IFNA(VLOOKUP(AD68,[13]Tipologías!$B$3:$G$17,3,0),"")</f>
        <v>LEY 1712 DE 2014 LEY DE TRANSPARENCIA Y DERECHO DE ACCESO A LA INFORMACIÓN. ARTÍCULO 6 DEFINICIONES LITERAL B.</v>
      </c>
      <c r="AY68" s="80" t="str">
        <f>_xlfn.IFNA(VLOOKUP(AD68,[13]Tipologías!$B$3:$G$17,5,0),"")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68" s="80" t="str">
        <f>_xlfn.IFNA(VLOOKUP(AD68,[13]Tipologías!$B$3:$G$17,6,0),"")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68" s="148" t="s">
        <v>197</v>
      </c>
      <c r="BB68" s="166">
        <v>45133</v>
      </c>
      <c r="BC68" s="148" t="s">
        <v>224</v>
      </c>
      <c r="BD68" s="146" t="s">
        <v>591</v>
      </c>
      <c r="BE68" s="146" t="s">
        <v>592</v>
      </c>
      <c r="BF68" s="45"/>
      <c r="BG68" s="45"/>
      <c r="BH68" s="45"/>
      <c r="BI68" s="45"/>
      <c r="BJ68" s="45"/>
      <c r="BK68" s="45"/>
      <c r="BL68" s="45"/>
      <c r="BM68" s="45"/>
      <c r="BN68" s="45"/>
      <c r="BO68" s="45"/>
      <c r="BP68" s="45"/>
      <c r="BQ68" s="45"/>
      <c r="BR68" s="45"/>
      <c r="BS68" s="45"/>
      <c r="BT68" s="45"/>
      <c r="BU68" s="45"/>
      <c r="BV68" s="45"/>
      <c r="BW68" s="45"/>
      <c r="BX68" s="45"/>
    </row>
    <row r="69" spans="1:76" s="67" customFormat="1" ht="207.75" customHeight="1" x14ac:dyDescent="0.2">
      <c r="A69" s="76">
        <v>60</v>
      </c>
      <c r="B69" s="74" t="s">
        <v>59</v>
      </c>
      <c r="C69" s="74" t="s">
        <v>306</v>
      </c>
      <c r="D69" s="100" t="s">
        <v>237</v>
      </c>
      <c r="E69" s="100" t="s">
        <v>593</v>
      </c>
      <c r="F69" s="111" t="s">
        <v>594</v>
      </c>
      <c r="G69" s="74" t="s">
        <v>205</v>
      </c>
      <c r="H69" s="137" t="s">
        <v>237</v>
      </c>
      <c r="I69" s="137" t="s">
        <v>237</v>
      </c>
      <c r="J69" s="107" t="s">
        <v>336</v>
      </c>
      <c r="K69" s="100" t="s">
        <v>320</v>
      </c>
      <c r="L69" s="111" t="s">
        <v>321</v>
      </c>
      <c r="M69" s="100" t="s">
        <v>195</v>
      </c>
      <c r="N69" s="111" t="s">
        <v>595</v>
      </c>
      <c r="O69" s="100" t="s">
        <v>144</v>
      </c>
      <c r="P69" s="100" t="s">
        <v>596</v>
      </c>
      <c r="Q69" s="76" t="s">
        <v>325</v>
      </c>
      <c r="R69" s="76" t="s">
        <v>325</v>
      </c>
      <c r="S69" s="77" t="s">
        <v>195</v>
      </c>
      <c r="T69" s="77" t="s">
        <v>590</v>
      </c>
      <c r="U69" s="77" t="s">
        <v>328</v>
      </c>
      <c r="V69" s="77" t="s">
        <v>328</v>
      </c>
      <c r="W69" s="77" t="s">
        <v>328</v>
      </c>
      <c r="X69" s="77" t="s">
        <v>329</v>
      </c>
      <c r="Y69" s="77" t="s">
        <v>329</v>
      </c>
      <c r="Z69" s="77" t="s">
        <v>329</v>
      </c>
      <c r="AA69" s="77" t="s">
        <v>195</v>
      </c>
      <c r="AB69" s="77" t="s">
        <v>195</v>
      </c>
      <c r="AC69" s="76" t="s">
        <v>590</v>
      </c>
      <c r="AD69" s="142" t="s">
        <v>89</v>
      </c>
      <c r="AE69" s="142" t="s">
        <v>134</v>
      </c>
      <c r="AF69" s="136" t="str">
        <f t="shared" si="58"/>
        <v>ALTO</v>
      </c>
      <c r="AG69" s="77" t="s">
        <v>102</v>
      </c>
      <c r="AH69" s="136" t="str">
        <f t="shared" si="59"/>
        <v>MEDIO</v>
      </c>
      <c r="AI69" s="78" t="s">
        <v>111</v>
      </c>
      <c r="AJ69" s="77" t="s">
        <v>117</v>
      </c>
      <c r="AK69" s="136" t="str">
        <f t="shared" si="51"/>
        <v>ALTO</v>
      </c>
      <c r="AL69" s="80" t="str">
        <f>VLOOKUP($AD69,[13]Tipologías!$B$3:$G$17,2,FALSE)</f>
        <v>BAJO</v>
      </c>
      <c r="AM69" s="80">
        <f t="shared" si="52"/>
        <v>1</v>
      </c>
      <c r="AN69" s="80" t="str">
        <f>VLOOKUP($AE69,[13]Tipologías!$A$21:$C$24,3,FALSE)</f>
        <v>ALTO</v>
      </c>
      <c r="AO69" s="80">
        <f t="shared" si="53"/>
        <v>3</v>
      </c>
      <c r="AP69" s="80">
        <f>VLOOKUP($AI69,[13]Tipologías!$A$38:$B$42,2,FALSE)</f>
        <v>0.5</v>
      </c>
      <c r="AQ69" s="80">
        <f>VLOOKUP($AJ69,[13]Tipologías!$A$46:$B$53,2,FALSE)</f>
        <v>2.5</v>
      </c>
      <c r="AR69" s="80" t="str">
        <f t="shared" ref="AR69:AR74" si="60">IF(MAX(AM69,AO69)=3,"ALTO",IF(MAX(AM69,AO69)=2,"MEDIO",IF(MAX(AM69,AO69)=1,"BAJO","  ")))</f>
        <v>ALTO</v>
      </c>
      <c r="AS69" s="80" t="str">
        <f>VLOOKUP($AG69,[13]Tipologías!$A$29:$C$33,3,FALSE)</f>
        <v>MEDIO</v>
      </c>
      <c r="AT69" s="80" t="str">
        <f t="shared" ref="AT69:AT74" si="61">IF(SUM($AP69,$AQ69)&gt;=3,"ALTO",IF(SUM($AP69,$AQ69)&lt;2,"BAJO","MEDIO"))</f>
        <v>ALTO</v>
      </c>
      <c r="AU69" s="80" t="str">
        <f t="shared" ref="AU69:AU74" si="62">_xlfn.IFNA(IF(AND(AR69="BAJO",AS69="BAJO",AT69="BAJO"),"BAJO",IF(AND(AR69="ALTO",AS69="ALTO",AT69="ALTO"),"ALTO",IF(COUNTIF(AR69:AT69,"ALTO")=2,"ALTO","MEDIO")))," ")</f>
        <v>ALTO</v>
      </c>
      <c r="AV69" s="80" t="str">
        <f>_xlfn.IFNA(VLOOKUP(AD69,[13]Tipologías!$B$3:$G$17,4,0),"")</f>
        <v>INFORMACIÓN PÚBLICA</v>
      </c>
      <c r="AW69" s="80" t="str">
        <f t="shared" ref="AW69:AW74" si="63">IF(AV69="INFORMACIÓN PÚBLICA","IPB",IF(AV69="INFORMACIÓN PÚBLICA CLASIFICADA","IPC",IF(AV69="INFORMACIÓN PÚBLICA RESERVADA","IPR",IF(AV69="",""))))</f>
        <v>IPB</v>
      </c>
      <c r="AX69" s="80" t="str">
        <f>_xlfn.IFNA(VLOOKUP(AD69,[13]Tipologías!$B$3:$G$17,3,0),"")</f>
        <v>LEY 1712 DE 2014 LEY DE TRANSPARENCIA Y DERECHO DE ACCESO A LA INFORMACIÓN. ARTÍCULO 6 DEFINICIONES LITERAL B.</v>
      </c>
      <c r="AY69" s="80" t="str">
        <f>_xlfn.IFNA(VLOOKUP(AD69,[13]Tipologías!$B$3:$G$17,5,0),"")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69" s="80" t="str">
        <f>_xlfn.IFNA(VLOOKUP(AD69,[13]Tipologías!$B$3:$G$17,6,0),"")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69" s="148" t="s">
        <v>197</v>
      </c>
      <c r="BB69" s="166">
        <v>45133</v>
      </c>
      <c r="BC69" s="148" t="s">
        <v>201</v>
      </c>
      <c r="BD69" s="146" t="s">
        <v>591</v>
      </c>
      <c r="BE69" s="146" t="s">
        <v>592</v>
      </c>
      <c r="BF69" s="45"/>
      <c r="BG69" s="45"/>
      <c r="BH69" s="45"/>
      <c r="BI69" s="45"/>
      <c r="BJ69" s="45"/>
      <c r="BK69" s="45"/>
      <c r="BL69" s="45"/>
      <c r="BM69" s="45"/>
      <c r="BN69" s="45"/>
      <c r="BO69" s="45"/>
      <c r="BP69" s="45"/>
      <c r="BQ69" s="45"/>
      <c r="BR69" s="45"/>
      <c r="BS69" s="45"/>
      <c r="BT69" s="45"/>
      <c r="BU69" s="45"/>
      <c r="BV69" s="45"/>
      <c r="BW69" s="45"/>
      <c r="BX69" s="45"/>
    </row>
    <row r="70" spans="1:76" s="67" customFormat="1" ht="207.75" customHeight="1" x14ac:dyDescent="0.2">
      <c r="A70" s="76">
        <v>61</v>
      </c>
      <c r="B70" s="74" t="s">
        <v>59</v>
      </c>
      <c r="C70" s="74" t="s">
        <v>306</v>
      </c>
      <c r="D70" s="100" t="s">
        <v>237</v>
      </c>
      <c r="E70" s="100" t="s">
        <v>597</v>
      </c>
      <c r="F70" s="111" t="s">
        <v>598</v>
      </c>
      <c r="G70" s="74" t="s">
        <v>205</v>
      </c>
      <c r="H70" s="137" t="s">
        <v>237</v>
      </c>
      <c r="I70" s="137" t="s">
        <v>237</v>
      </c>
      <c r="J70" s="107" t="s">
        <v>336</v>
      </c>
      <c r="K70" s="100" t="s">
        <v>320</v>
      </c>
      <c r="L70" s="111" t="s">
        <v>321</v>
      </c>
      <c r="M70" s="100" t="s">
        <v>590</v>
      </c>
      <c r="N70" s="111" t="s">
        <v>595</v>
      </c>
      <c r="O70" s="100" t="s">
        <v>151</v>
      </c>
      <c r="P70" s="100" t="s">
        <v>596</v>
      </c>
      <c r="Q70" s="76" t="s">
        <v>325</v>
      </c>
      <c r="R70" s="76" t="s">
        <v>325</v>
      </c>
      <c r="S70" s="77" t="s">
        <v>195</v>
      </c>
      <c r="T70" s="77" t="s">
        <v>590</v>
      </c>
      <c r="U70" s="77" t="s">
        <v>328</v>
      </c>
      <c r="V70" s="77" t="s">
        <v>328</v>
      </c>
      <c r="W70" s="77" t="s">
        <v>329</v>
      </c>
      <c r="X70" s="77" t="s">
        <v>329</v>
      </c>
      <c r="Y70" s="77" t="s">
        <v>329</v>
      </c>
      <c r="Z70" s="77" t="s">
        <v>329</v>
      </c>
      <c r="AA70" s="77" t="s">
        <v>195</v>
      </c>
      <c r="AB70" s="77" t="s">
        <v>195</v>
      </c>
      <c r="AC70" s="76" t="s">
        <v>590</v>
      </c>
      <c r="AD70" s="142" t="s">
        <v>89</v>
      </c>
      <c r="AE70" s="142" t="s">
        <v>134</v>
      </c>
      <c r="AF70" s="136" t="str">
        <f t="shared" si="58"/>
        <v>ALTO</v>
      </c>
      <c r="AG70" s="77" t="s">
        <v>102</v>
      </c>
      <c r="AH70" s="136" t="str">
        <f t="shared" si="59"/>
        <v>MEDIO</v>
      </c>
      <c r="AI70" s="78" t="s">
        <v>115</v>
      </c>
      <c r="AJ70" s="77" t="s">
        <v>123</v>
      </c>
      <c r="AK70" s="136" t="str">
        <f t="shared" si="51"/>
        <v>MEDIO</v>
      </c>
      <c r="AL70" s="80" t="str">
        <f>VLOOKUP($AD70,[13]Tipologías!$B$3:$G$17,2,FALSE)</f>
        <v>BAJO</v>
      </c>
      <c r="AM70" s="80">
        <f t="shared" si="52"/>
        <v>1</v>
      </c>
      <c r="AN70" s="80" t="str">
        <f>VLOOKUP($AE70,[13]Tipologías!$A$21:$C$24,3,FALSE)</f>
        <v>ALTO</v>
      </c>
      <c r="AO70" s="80">
        <f t="shared" si="53"/>
        <v>3</v>
      </c>
      <c r="AP70" s="80">
        <f>VLOOKUP($AI70,[13]Tipologías!$A$38:$B$42,2,FALSE)</f>
        <v>2</v>
      </c>
      <c r="AQ70" s="80">
        <f>VLOOKUP($AJ70,[13]Tipologías!$A$46:$B$53,2,FALSE)</f>
        <v>0.5</v>
      </c>
      <c r="AR70" s="80" t="str">
        <f t="shared" si="60"/>
        <v>ALTO</v>
      </c>
      <c r="AS70" s="80" t="str">
        <f>VLOOKUP($AG70,[13]Tipologías!$A$29:$C$33,3,FALSE)</f>
        <v>MEDIO</v>
      </c>
      <c r="AT70" s="80" t="str">
        <f t="shared" si="61"/>
        <v>MEDIO</v>
      </c>
      <c r="AU70" s="80" t="str">
        <f t="shared" si="62"/>
        <v>MEDIO</v>
      </c>
      <c r="AV70" s="80" t="str">
        <f>_xlfn.IFNA(VLOOKUP(AD70,[13]Tipologías!$B$3:$G$17,4,0),"")</f>
        <v>INFORMACIÓN PÚBLICA</v>
      </c>
      <c r="AW70" s="80" t="str">
        <f t="shared" si="63"/>
        <v>IPB</v>
      </c>
      <c r="AX70" s="80" t="str">
        <f>_xlfn.IFNA(VLOOKUP(AD70,[13]Tipologías!$B$3:$G$17,3,0),"")</f>
        <v>LEY 1712 DE 2014 LEY DE TRANSPARENCIA Y DERECHO DE ACCESO A LA INFORMACIÓN. ARTÍCULO 6 DEFINICIONES LITERAL B.</v>
      </c>
      <c r="AY70" s="80" t="str">
        <f>_xlfn.IFNA(VLOOKUP(AD70,[13]Tipologías!$B$3:$G$17,5,0),"")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70" s="80" t="str">
        <f>_xlfn.IFNA(VLOOKUP(AD70,[13]Tipologías!$B$3:$G$17,6,0),"")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70" s="148" t="s">
        <v>198</v>
      </c>
      <c r="BB70" s="166">
        <v>45133</v>
      </c>
      <c r="BC70" s="148" t="s">
        <v>195</v>
      </c>
      <c r="BD70" s="146" t="s">
        <v>599</v>
      </c>
      <c r="BE70" s="146" t="s">
        <v>592</v>
      </c>
      <c r="BF70" s="45"/>
      <c r="BG70" s="45"/>
      <c r="BH70" s="45"/>
      <c r="BI70" s="45"/>
      <c r="BJ70" s="45"/>
      <c r="BK70" s="45"/>
      <c r="BL70" s="45"/>
      <c r="BM70" s="45"/>
      <c r="BN70" s="45"/>
      <c r="BO70" s="45"/>
      <c r="BP70" s="45"/>
      <c r="BQ70" s="45"/>
      <c r="BR70" s="45"/>
      <c r="BS70" s="45"/>
      <c r="BT70" s="45"/>
      <c r="BU70" s="45"/>
      <c r="BV70" s="45"/>
      <c r="BW70" s="45"/>
      <c r="BX70" s="45"/>
    </row>
    <row r="71" spans="1:76" s="67" customFormat="1" ht="207.75" customHeight="1" x14ac:dyDescent="0.2">
      <c r="A71" s="76">
        <v>62</v>
      </c>
      <c r="B71" s="132" t="s">
        <v>59</v>
      </c>
      <c r="C71" s="132" t="s">
        <v>306</v>
      </c>
      <c r="D71" s="100" t="s">
        <v>237</v>
      </c>
      <c r="E71" s="100" t="s">
        <v>600</v>
      </c>
      <c r="F71" s="111" t="s">
        <v>601</v>
      </c>
      <c r="G71" s="132" t="s">
        <v>141</v>
      </c>
      <c r="H71" s="137" t="s">
        <v>237</v>
      </c>
      <c r="I71" s="143" t="s">
        <v>602</v>
      </c>
      <c r="J71" s="153" t="s">
        <v>336</v>
      </c>
      <c r="K71" s="100" t="s">
        <v>320</v>
      </c>
      <c r="L71" s="111" t="s">
        <v>362</v>
      </c>
      <c r="M71" s="100" t="s">
        <v>590</v>
      </c>
      <c r="N71" s="111" t="s">
        <v>603</v>
      </c>
      <c r="O71" s="100" t="s">
        <v>146</v>
      </c>
      <c r="P71" s="100" t="s">
        <v>604</v>
      </c>
      <c r="Q71" s="76" t="s">
        <v>325</v>
      </c>
      <c r="R71" s="76" t="s">
        <v>325</v>
      </c>
      <c r="S71" s="77" t="s">
        <v>195</v>
      </c>
      <c r="T71" s="77" t="s">
        <v>590</v>
      </c>
      <c r="U71" s="77" t="s">
        <v>329</v>
      </c>
      <c r="V71" s="77" t="s">
        <v>195</v>
      </c>
      <c r="W71" s="77" t="s">
        <v>195</v>
      </c>
      <c r="X71" s="77" t="s">
        <v>195</v>
      </c>
      <c r="Y71" s="77" t="s">
        <v>195</v>
      </c>
      <c r="Z71" s="77" t="s">
        <v>195</v>
      </c>
      <c r="AA71" s="77" t="s">
        <v>195</v>
      </c>
      <c r="AB71" s="77" t="s">
        <v>195</v>
      </c>
      <c r="AC71" s="77" t="s">
        <v>195</v>
      </c>
      <c r="AD71" s="142" t="s">
        <v>89</v>
      </c>
      <c r="AE71" s="142" t="s">
        <v>130</v>
      </c>
      <c r="AF71" s="136" t="str">
        <f t="shared" si="58"/>
        <v>BAJO</v>
      </c>
      <c r="AG71" s="77" t="s">
        <v>102</v>
      </c>
      <c r="AH71" s="136" t="str">
        <f t="shared" si="59"/>
        <v>MEDIO</v>
      </c>
      <c r="AI71" s="78" t="s">
        <v>114</v>
      </c>
      <c r="AJ71" s="77" t="s">
        <v>119</v>
      </c>
      <c r="AK71" s="136" t="str">
        <f t="shared" si="51"/>
        <v>ALTO</v>
      </c>
      <c r="AL71" s="144" t="str">
        <f>VLOOKUP($AD71,[13]Tipologías!$B$3:$G$17,2,FALSE)</f>
        <v>BAJO</v>
      </c>
      <c r="AM71" s="144">
        <f t="shared" si="52"/>
        <v>1</v>
      </c>
      <c r="AN71" s="144" t="str">
        <f>VLOOKUP($AE71,[13]Tipologías!$A$21:$C$24,3,FALSE)</f>
        <v>BAJO</v>
      </c>
      <c r="AO71" s="144">
        <f t="shared" si="53"/>
        <v>1</v>
      </c>
      <c r="AP71" s="144">
        <f>VLOOKUP($AI71,[13]Tipologías!$A$38:$B$42,2,FALSE)</f>
        <v>1.5</v>
      </c>
      <c r="AQ71" s="144">
        <f>VLOOKUP($AJ71,[13]Tipologías!$A$46:$B$53,2,FALSE)</f>
        <v>2</v>
      </c>
      <c r="AR71" s="144" t="str">
        <f t="shared" si="60"/>
        <v>BAJO</v>
      </c>
      <c r="AS71" s="144" t="str">
        <f>VLOOKUP($AG71,[13]Tipologías!$A$29:$C$33,3,FALSE)</f>
        <v>MEDIO</v>
      </c>
      <c r="AT71" s="144" t="str">
        <f t="shared" si="61"/>
        <v>ALTO</v>
      </c>
      <c r="AU71" s="144" t="str">
        <f t="shared" si="62"/>
        <v>MEDIO</v>
      </c>
      <c r="AV71" s="144" t="str">
        <f>_xlfn.IFNA(VLOOKUP(AD71,[13]Tipologías!$B$3:$G$17,4,0),"")</f>
        <v>INFORMACIÓN PÚBLICA</v>
      </c>
      <c r="AW71" s="144" t="str">
        <f t="shared" si="63"/>
        <v>IPB</v>
      </c>
      <c r="AX71" s="144" t="str">
        <f>_xlfn.IFNA(VLOOKUP(AD71,[13]Tipologías!$B$3:$G$17,3,0),"")</f>
        <v>LEY 1712 DE 2014 LEY DE TRANSPARENCIA Y DERECHO DE ACCESO A LA INFORMACIÓN. ARTÍCULO 6 DEFINICIONES LITERAL B.</v>
      </c>
      <c r="AY71" s="144" t="str">
        <f>_xlfn.IFNA(VLOOKUP(AD71,[13]Tipologías!$B$3:$G$17,5,0),"")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71" s="144" t="str">
        <f>_xlfn.IFNA(VLOOKUP(AD71,[13]Tipologías!$B$3:$G$17,6,0),"")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71" s="148" t="s">
        <v>198</v>
      </c>
      <c r="BB71" s="166">
        <v>45133</v>
      </c>
      <c r="BC71" s="148" t="s">
        <v>195</v>
      </c>
      <c r="BD71" s="146" t="s">
        <v>605</v>
      </c>
      <c r="BE71" s="146" t="s">
        <v>592</v>
      </c>
      <c r="BF71" s="45"/>
      <c r="BG71" s="45"/>
      <c r="BH71" s="45"/>
      <c r="BI71" s="45"/>
      <c r="BJ71" s="45"/>
      <c r="BK71" s="45"/>
      <c r="BL71" s="45"/>
      <c r="BM71" s="45"/>
      <c r="BN71" s="45"/>
      <c r="BO71" s="45"/>
      <c r="BP71" s="45"/>
      <c r="BQ71" s="45"/>
      <c r="BR71" s="45"/>
      <c r="BS71" s="45"/>
      <c r="BT71" s="45"/>
      <c r="BU71" s="45"/>
      <c r="BV71" s="45"/>
      <c r="BW71" s="45"/>
      <c r="BX71" s="45"/>
    </row>
    <row r="72" spans="1:76" s="67" customFormat="1" ht="207.75" customHeight="1" x14ac:dyDescent="0.2">
      <c r="A72" s="76">
        <v>63</v>
      </c>
      <c r="B72" s="132" t="s">
        <v>59</v>
      </c>
      <c r="C72" s="132" t="s">
        <v>306</v>
      </c>
      <c r="D72" s="100" t="s">
        <v>237</v>
      </c>
      <c r="E72" s="100" t="s">
        <v>606</v>
      </c>
      <c r="F72" s="111" t="s">
        <v>607</v>
      </c>
      <c r="G72" s="132" t="s">
        <v>141</v>
      </c>
      <c r="H72" s="137" t="s">
        <v>237</v>
      </c>
      <c r="I72" s="111" t="s">
        <v>284</v>
      </c>
      <c r="J72" s="153" t="s">
        <v>336</v>
      </c>
      <c r="K72" s="100" t="s">
        <v>320</v>
      </c>
      <c r="L72" s="111" t="s">
        <v>321</v>
      </c>
      <c r="M72" s="100" t="s">
        <v>590</v>
      </c>
      <c r="N72" s="111" t="s">
        <v>608</v>
      </c>
      <c r="O72" s="100" t="s">
        <v>150</v>
      </c>
      <c r="P72" s="100" t="s">
        <v>604</v>
      </c>
      <c r="Q72" s="76" t="s">
        <v>325</v>
      </c>
      <c r="R72" s="76" t="s">
        <v>325</v>
      </c>
      <c r="S72" s="77" t="s">
        <v>195</v>
      </c>
      <c r="T72" s="77" t="s">
        <v>590</v>
      </c>
      <c r="U72" s="77" t="s">
        <v>329</v>
      </c>
      <c r="V72" s="77" t="s">
        <v>195</v>
      </c>
      <c r="W72" s="77" t="s">
        <v>195</v>
      </c>
      <c r="X72" s="77" t="s">
        <v>195</v>
      </c>
      <c r="Y72" s="77" t="s">
        <v>195</v>
      </c>
      <c r="Z72" s="77" t="s">
        <v>195</v>
      </c>
      <c r="AA72" s="77" t="s">
        <v>195</v>
      </c>
      <c r="AB72" s="77" t="s">
        <v>195</v>
      </c>
      <c r="AC72" s="77" t="s">
        <v>195</v>
      </c>
      <c r="AD72" s="142" t="s">
        <v>208</v>
      </c>
      <c r="AE72" s="142" t="s">
        <v>134</v>
      </c>
      <c r="AF72" s="136" t="str">
        <f t="shared" si="58"/>
        <v>ALTO</v>
      </c>
      <c r="AG72" s="77" t="s">
        <v>101</v>
      </c>
      <c r="AH72" s="136" t="str">
        <f t="shared" si="59"/>
        <v>BAJO</v>
      </c>
      <c r="AI72" s="78" t="s">
        <v>114</v>
      </c>
      <c r="AJ72" s="77" t="s">
        <v>119</v>
      </c>
      <c r="AK72" s="136" t="str">
        <f t="shared" si="51"/>
        <v>ALTO</v>
      </c>
      <c r="AL72" s="144" t="str">
        <f>VLOOKUP($AD72,[13]Tipologías!$B$3:$G$17,2,FALSE)</f>
        <v>ALTO</v>
      </c>
      <c r="AM72" s="144">
        <f t="shared" si="52"/>
        <v>3</v>
      </c>
      <c r="AN72" s="144" t="str">
        <f>VLOOKUP($AE72,[13]Tipologías!$A$21:$C$24,3,FALSE)</f>
        <v>ALTO</v>
      </c>
      <c r="AO72" s="144">
        <f t="shared" si="53"/>
        <v>3</v>
      </c>
      <c r="AP72" s="144">
        <f>VLOOKUP($AI72,[13]Tipologías!$A$38:$B$42,2,FALSE)</f>
        <v>1.5</v>
      </c>
      <c r="AQ72" s="144">
        <f>VLOOKUP($AJ72,[13]Tipologías!$A$46:$B$53,2,FALSE)</f>
        <v>2</v>
      </c>
      <c r="AR72" s="144" t="str">
        <f t="shared" si="60"/>
        <v>ALTO</v>
      </c>
      <c r="AS72" s="144" t="str">
        <f>VLOOKUP($AG72,[13]Tipologías!$A$29:$C$33,3,FALSE)</f>
        <v>BAJO</v>
      </c>
      <c r="AT72" s="144" t="str">
        <f t="shared" si="61"/>
        <v>ALTO</v>
      </c>
      <c r="AU72" s="144" t="str">
        <f t="shared" si="62"/>
        <v>ALTO</v>
      </c>
      <c r="AV72" s="144" t="str">
        <f>_xlfn.IFNA(VLOOKUP(AD72,[13]Tipologías!$B$3:$G$17,4,0),"")</f>
        <v>INFORMACIÓN PÚBLICA CLASIFICADA</v>
      </c>
      <c r="AW72" s="144" t="str">
        <f t="shared" si="63"/>
        <v>IPC</v>
      </c>
      <c r="AX72" s="144" t="str">
        <f>_xlfn.IFNA(VLOOKUP(AD72,[13]Tipologías!$B$3:$G$17,3,0),"")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72" s="144" t="str">
        <f>_xlfn.IFNA(VLOOKUP(AD72,[13]Tipologías!$B$3:$G$17,5,0),"")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72" s="144" t="str">
        <f>_xlfn.IFNA(VLOOKUP(AD72,[13]Tipologías!$B$3:$G$17,6,0),"")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72" s="148" t="s">
        <v>198</v>
      </c>
      <c r="BB72" s="166">
        <v>45133</v>
      </c>
      <c r="BC72" s="148" t="s">
        <v>195</v>
      </c>
      <c r="BD72" s="146" t="s">
        <v>605</v>
      </c>
      <c r="BE72" s="146" t="s">
        <v>592</v>
      </c>
      <c r="BF72" s="45"/>
      <c r="BG72" s="45"/>
      <c r="BH72" s="45"/>
      <c r="BI72" s="45"/>
      <c r="BJ72" s="45"/>
      <c r="BK72" s="45"/>
      <c r="BL72" s="45"/>
      <c r="BM72" s="45"/>
      <c r="BN72" s="45"/>
      <c r="BO72" s="45"/>
      <c r="BP72" s="45"/>
      <c r="BQ72" s="45"/>
      <c r="BR72" s="45"/>
      <c r="BS72" s="45"/>
      <c r="BT72" s="45"/>
      <c r="BU72" s="45"/>
      <c r="BV72" s="45"/>
      <c r="BW72" s="45"/>
      <c r="BX72" s="45"/>
    </row>
    <row r="73" spans="1:76" s="67" customFormat="1" ht="207.75" customHeight="1" x14ac:dyDescent="0.2">
      <c r="A73" s="76">
        <v>64</v>
      </c>
      <c r="B73" s="74" t="s">
        <v>59</v>
      </c>
      <c r="C73" s="74" t="s">
        <v>306</v>
      </c>
      <c r="D73" s="109" t="s">
        <v>237</v>
      </c>
      <c r="E73" s="109" t="s">
        <v>609</v>
      </c>
      <c r="F73" s="140" t="s">
        <v>610</v>
      </c>
      <c r="G73" s="74" t="s">
        <v>205</v>
      </c>
      <c r="H73" s="145" t="s">
        <v>237</v>
      </c>
      <c r="I73" s="143" t="s">
        <v>611</v>
      </c>
      <c r="J73" s="107" t="s">
        <v>319</v>
      </c>
      <c r="K73" s="109" t="s">
        <v>320</v>
      </c>
      <c r="L73" s="140" t="s">
        <v>321</v>
      </c>
      <c r="M73" s="140" t="s">
        <v>586</v>
      </c>
      <c r="N73" s="140" t="s">
        <v>612</v>
      </c>
      <c r="O73" s="109" t="s">
        <v>151</v>
      </c>
      <c r="P73" s="109" t="s">
        <v>604</v>
      </c>
      <c r="Q73" s="113" t="s">
        <v>325</v>
      </c>
      <c r="R73" s="113" t="s">
        <v>325</v>
      </c>
      <c r="S73" s="108" t="s">
        <v>613</v>
      </c>
      <c r="T73" s="108" t="s">
        <v>614</v>
      </c>
      <c r="U73" s="108" t="s">
        <v>328</v>
      </c>
      <c r="V73" s="108" t="s">
        <v>328</v>
      </c>
      <c r="W73" s="108" t="s">
        <v>328</v>
      </c>
      <c r="X73" s="108" t="s">
        <v>328</v>
      </c>
      <c r="Y73" s="108" t="s">
        <v>329</v>
      </c>
      <c r="Z73" s="108" t="s">
        <v>329</v>
      </c>
      <c r="AA73" s="108" t="s">
        <v>329</v>
      </c>
      <c r="AB73" s="108" t="s">
        <v>329</v>
      </c>
      <c r="AC73" s="108" t="s">
        <v>195</v>
      </c>
      <c r="AD73" s="110" t="s">
        <v>208</v>
      </c>
      <c r="AE73" s="110" t="s">
        <v>134</v>
      </c>
      <c r="AF73" s="112" t="str">
        <f t="shared" si="58"/>
        <v>ALTO</v>
      </c>
      <c r="AG73" s="108" t="s">
        <v>102</v>
      </c>
      <c r="AH73" s="112" t="str">
        <f t="shared" si="59"/>
        <v>MEDIO</v>
      </c>
      <c r="AI73" s="141" t="s">
        <v>113</v>
      </c>
      <c r="AJ73" s="108" t="s">
        <v>121</v>
      </c>
      <c r="AK73" s="112" t="str">
        <f t="shared" si="51"/>
        <v>MEDIO</v>
      </c>
      <c r="AL73" s="80" t="str">
        <f>VLOOKUP($AD73,[13]Tipologías!$B$3:$G$17,2,FALSE)</f>
        <v>ALTO</v>
      </c>
      <c r="AM73" s="80">
        <f t="shared" si="52"/>
        <v>3</v>
      </c>
      <c r="AN73" s="80" t="str">
        <f>VLOOKUP($AE73,[13]Tipologías!$A$21:$C$24,3,FALSE)</f>
        <v>ALTO</v>
      </c>
      <c r="AO73" s="80">
        <f t="shared" si="53"/>
        <v>3</v>
      </c>
      <c r="AP73" s="80">
        <f>VLOOKUP($AI73,[13]Tipologías!$A$38:$B$42,2,FALSE)</f>
        <v>1</v>
      </c>
      <c r="AQ73" s="80">
        <f>VLOOKUP($AJ73,[13]Tipologías!$A$46:$B$53,2,FALSE)</f>
        <v>1.25</v>
      </c>
      <c r="AR73" s="80" t="str">
        <f t="shared" si="60"/>
        <v>ALTO</v>
      </c>
      <c r="AS73" s="80" t="str">
        <f>VLOOKUP($AG73,[13]Tipologías!$A$29:$C$33,3,FALSE)</f>
        <v>MEDIO</v>
      </c>
      <c r="AT73" s="80" t="str">
        <f t="shared" si="61"/>
        <v>MEDIO</v>
      </c>
      <c r="AU73" s="80" t="str">
        <f t="shared" si="62"/>
        <v>MEDIO</v>
      </c>
      <c r="AV73" s="80" t="str">
        <f>_xlfn.IFNA(VLOOKUP(AD73,[13]Tipologías!$B$3:$G$17,4,0),"")</f>
        <v>INFORMACIÓN PÚBLICA CLASIFICADA</v>
      </c>
      <c r="AW73" s="80" t="str">
        <f t="shared" si="63"/>
        <v>IPC</v>
      </c>
      <c r="AX73" s="80" t="str">
        <f>_xlfn.IFNA(VLOOKUP(AD73,[13]Tipologías!$B$3:$G$17,3,0),"")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73" s="80" t="str">
        <f>_xlfn.IFNA(VLOOKUP(AD73,[13]Tipologías!$B$3:$G$17,5,0),"")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73" s="80" t="str">
        <f>_xlfn.IFNA(VLOOKUP(AD73,[13]Tipologías!$B$3:$G$17,6,0),"")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73" s="150" t="s">
        <v>197</v>
      </c>
      <c r="BB73" s="167">
        <v>45133</v>
      </c>
      <c r="BC73" s="150" t="s">
        <v>227</v>
      </c>
      <c r="BD73" s="115" t="s">
        <v>615</v>
      </c>
      <c r="BE73" s="115" t="s">
        <v>592</v>
      </c>
      <c r="BF73" s="45"/>
      <c r="BG73" s="45"/>
      <c r="BH73" s="45"/>
      <c r="BI73" s="45"/>
      <c r="BJ73" s="45"/>
      <c r="BK73" s="45"/>
      <c r="BL73" s="45"/>
      <c r="BM73" s="45"/>
      <c r="BN73" s="45"/>
      <c r="BO73" s="45"/>
      <c r="BP73" s="45"/>
      <c r="BQ73" s="45"/>
      <c r="BR73" s="45"/>
      <c r="BS73" s="45"/>
      <c r="BT73" s="45"/>
      <c r="BU73" s="45"/>
      <c r="BV73" s="45"/>
      <c r="BW73" s="45"/>
      <c r="BX73" s="45"/>
    </row>
    <row r="74" spans="1:76" s="67" customFormat="1" ht="207.75" customHeight="1" x14ac:dyDescent="0.2">
      <c r="A74" s="76">
        <v>65</v>
      </c>
      <c r="B74" s="74" t="s">
        <v>59</v>
      </c>
      <c r="C74" s="74" t="s">
        <v>306</v>
      </c>
      <c r="D74" s="109" t="s">
        <v>237</v>
      </c>
      <c r="E74" s="109" t="s">
        <v>616</v>
      </c>
      <c r="F74" s="140" t="s">
        <v>617</v>
      </c>
      <c r="G74" s="74" t="s">
        <v>139</v>
      </c>
      <c r="H74" s="145" t="s">
        <v>237</v>
      </c>
      <c r="I74" s="145" t="s">
        <v>237</v>
      </c>
      <c r="J74" s="107" t="s">
        <v>397</v>
      </c>
      <c r="K74" s="109" t="s">
        <v>320</v>
      </c>
      <c r="L74" s="140" t="s">
        <v>321</v>
      </c>
      <c r="M74" s="140" t="s">
        <v>237</v>
      </c>
      <c r="N74" s="140" t="s">
        <v>195</v>
      </c>
      <c r="O74" s="109" t="s">
        <v>151</v>
      </c>
      <c r="P74" s="109" t="s">
        <v>195</v>
      </c>
      <c r="Q74" s="113" t="s">
        <v>325</v>
      </c>
      <c r="R74" s="113" t="s">
        <v>325</v>
      </c>
      <c r="S74" s="108" t="s">
        <v>195</v>
      </c>
      <c r="T74" s="108" t="s">
        <v>590</v>
      </c>
      <c r="U74" s="108" t="s">
        <v>328</v>
      </c>
      <c r="V74" s="108" t="s">
        <v>328</v>
      </c>
      <c r="W74" s="108" t="s">
        <v>328</v>
      </c>
      <c r="X74" s="108" t="s">
        <v>329</v>
      </c>
      <c r="Y74" s="108" t="s">
        <v>329</v>
      </c>
      <c r="Z74" s="108" t="s">
        <v>329</v>
      </c>
      <c r="AA74" s="108" t="s">
        <v>195</v>
      </c>
      <c r="AB74" s="108" t="s">
        <v>195</v>
      </c>
      <c r="AC74" s="108" t="s">
        <v>195</v>
      </c>
      <c r="AD74" s="110" t="s">
        <v>216</v>
      </c>
      <c r="AE74" s="110" t="s">
        <v>134</v>
      </c>
      <c r="AF74" s="112" t="str">
        <f t="shared" si="58"/>
        <v>ALTO</v>
      </c>
      <c r="AG74" s="108" t="s">
        <v>101</v>
      </c>
      <c r="AH74" s="112" t="str">
        <f t="shared" si="59"/>
        <v>BAJO</v>
      </c>
      <c r="AI74" s="141" t="s">
        <v>114</v>
      </c>
      <c r="AJ74" s="108" t="s">
        <v>121</v>
      </c>
      <c r="AK74" s="112" t="str">
        <f t="shared" si="51"/>
        <v>MEDIO</v>
      </c>
      <c r="AL74" s="80" t="str">
        <f>VLOOKUP($AD74,[13]Tipologías!$B$3:$G$17,2,FALSE)</f>
        <v>ALTO</v>
      </c>
      <c r="AM74" s="80">
        <f t="shared" si="52"/>
        <v>3</v>
      </c>
      <c r="AN74" s="80" t="str">
        <f>VLOOKUP($AE74,[13]Tipologías!$A$21:$C$24,3,FALSE)</f>
        <v>ALTO</v>
      </c>
      <c r="AO74" s="80">
        <f t="shared" si="53"/>
        <v>3</v>
      </c>
      <c r="AP74" s="80">
        <f>VLOOKUP($AI74,[13]Tipologías!$A$38:$B$42,2,FALSE)</f>
        <v>1.5</v>
      </c>
      <c r="AQ74" s="80">
        <f>VLOOKUP($AJ74,[13]Tipologías!$A$46:$B$53,2,FALSE)</f>
        <v>1.25</v>
      </c>
      <c r="AR74" s="80" t="str">
        <f t="shared" si="60"/>
        <v>ALTO</v>
      </c>
      <c r="AS74" s="80" t="str">
        <f>VLOOKUP($AG74,[13]Tipologías!$A$29:$C$33,3,FALSE)</f>
        <v>BAJO</v>
      </c>
      <c r="AT74" s="80" t="str">
        <f t="shared" si="61"/>
        <v>MEDIO</v>
      </c>
      <c r="AU74" s="80" t="str">
        <f t="shared" si="62"/>
        <v>MEDIO</v>
      </c>
      <c r="AV74" s="80" t="str">
        <f>_xlfn.IFNA(VLOOKUP(AD74,[13]Tipologías!$B$3:$G$17,4,0),"")</f>
        <v>INFORMACIÓN PÚBLICA RESERVADA</v>
      </c>
      <c r="AW74" s="80" t="str">
        <f t="shared" si="63"/>
        <v>IPR</v>
      </c>
      <c r="AX74" s="80" t="str">
        <f>_xlfn.IFNA(VLOOKUP(AD74,[13]Tipologías!$B$3:$G$17,3,0),"")</f>
        <v>LEY 1712   DE 2014 ARTÍCULO 19 LITERAL H "LA ESTABILIDAD MACROECONÓMICA Y FINANCIERA DEL PAÍS."</v>
      </c>
      <c r="AY74" s="80" t="str">
        <f>_xlfn.IFNA(VLOOKUP(AD74,[13]Tipologías!$B$3:$G$17,5,0),"")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74" s="80" t="str">
        <f>_xlfn.IFNA(VLOOKUP(AD74,[13]Tipologías!$B$3:$G$17,6,0),"")</f>
        <v xml:space="preserve">LEY 1712 DE 2014 ARTÍCULO 19  </v>
      </c>
      <c r="BA74" s="150" t="s">
        <v>196</v>
      </c>
      <c r="BB74" s="167">
        <v>45133</v>
      </c>
      <c r="BC74" s="150" t="s">
        <v>201</v>
      </c>
      <c r="BD74" s="115" t="s">
        <v>615</v>
      </c>
      <c r="BE74" s="115" t="s">
        <v>592</v>
      </c>
      <c r="BF74" s="45"/>
      <c r="BG74" s="45"/>
      <c r="BH74" s="45"/>
      <c r="BI74" s="45"/>
      <c r="BJ74" s="45"/>
      <c r="BK74" s="45"/>
      <c r="BL74" s="45"/>
      <c r="BM74" s="45"/>
      <c r="BN74" s="45"/>
      <c r="BO74" s="45"/>
      <c r="BP74" s="45"/>
      <c r="BQ74" s="45"/>
      <c r="BR74" s="45"/>
      <c r="BS74" s="45"/>
      <c r="BT74" s="45"/>
      <c r="BU74" s="45"/>
      <c r="BV74" s="45"/>
      <c r="BW74" s="45"/>
      <c r="BX74" s="45"/>
    </row>
    <row r="75" spans="1:76" s="67" customFormat="1" ht="207.75" customHeight="1" x14ac:dyDescent="0.2">
      <c r="A75" s="76">
        <v>66</v>
      </c>
      <c r="B75" s="110" t="s">
        <v>59</v>
      </c>
      <c r="C75" s="110" t="s">
        <v>302</v>
      </c>
      <c r="D75" s="100" t="s">
        <v>78</v>
      </c>
      <c r="E75" s="100" t="s">
        <v>618</v>
      </c>
      <c r="F75" s="111" t="s">
        <v>619</v>
      </c>
      <c r="G75" s="110" t="s">
        <v>174</v>
      </c>
      <c r="H75" s="111" t="s">
        <v>620</v>
      </c>
      <c r="I75" s="111" t="s">
        <v>620</v>
      </c>
      <c r="J75" s="115" t="s">
        <v>336</v>
      </c>
      <c r="K75" s="100" t="s">
        <v>320</v>
      </c>
      <c r="L75" s="100" t="s">
        <v>321</v>
      </c>
      <c r="M75" s="100" t="s">
        <v>195</v>
      </c>
      <c r="N75" s="100" t="s">
        <v>621</v>
      </c>
      <c r="O75" s="100" t="s">
        <v>151</v>
      </c>
      <c r="P75" s="100" t="s">
        <v>622</v>
      </c>
      <c r="Q75" s="148" t="s">
        <v>195</v>
      </c>
      <c r="R75" s="148" t="s">
        <v>325</v>
      </c>
      <c r="S75" s="100" t="s">
        <v>348</v>
      </c>
      <c r="T75" s="100" t="s">
        <v>623</v>
      </c>
      <c r="U75" s="146" t="s">
        <v>328</v>
      </c>
      <c r="V75" s="146" t="s">
        <v>328</v>
      </c>
      <c r="W75" s="146" t="s">
        <v>328</v>
      </c>
      <c r="X75" s="146" t="s">
        <v>329</v>
      </c>
      <c r="Y75" s="146" t="s">
        <v>329</v>
      </c>
      <c r="Z75" s="146" t="s">
        <v>329</v>
      </c>
      <c r="AA75" s="146" t="s">
        <v>329</v>
      </c>
      <c r="AB75" s="146" t="s">
        <v>329</v>
      </c>
      <c r="AC75" s="160" t="s">
        <v>195</v>
      </c>
      <c r="AD75" s="142" t="s">
        <v>206</v>
      </c>
      <c r="AE75" s="142" t="s">
        <v>134</v>
      </c>
      <c r="AF75" s="144" t="str">
        <f>AR75</f>
        <v>ALTO</v>
      </c>
      <c r="AG75" s="146" t="s">
        <v>102</v>
      </c>
      <c r="AH75" s="144" t="str">
        <f>_xlfn.IFNA((AS75),"")</f>
        <v>MEDIO</v>
      </c>
      <c r="AI75" s="142" t="s">
        <v>109</v>
      </c>
      <c r="AJ75" s="146" t="s">
        <v>124</v>
      </c>
      <c r="AK75" s="144" t="str">
        <f>_xlfn.IFNA((AT75),"")</f>
        <v>BAJO</v>
      </c>
      <c r="AL75" s="80" t="str">
        <f>VLOOKUP($AD75,[14]Tipologías!$B$3:$G$17,2,FALSE)</f>
        <v>ALTO</v>
      </c>
      <c r="AM75" s="80">
        <f t="shared" si="52"/>
        <v>3</v>
      </c>
      <c r="AN75" s="80" t="str">
        <f>VLOOKUP($AE75,[14]Tipologías!$A$21:$C$24,3,FALSE)</f>
        <v>ALTO</v>
      </c>
      <c r="AO75" s="80">
        <f t="shared" si="53"/>
        <v>3</v>
      </c>
      <c r="AP75" s="80">
        <f>VLOOKUP($AI75,[14]Tipologías!$A$38:$B$42,2,FALSE)</f>
        <v>0</v>
      </c>
      <c r="AQ75" s="80">
        <f>VLOOKUP($AJ75,[14]Tipologías!$A$46:$B$53,2,FALSE)</f>
        <v>0.25</v>
      </c>
      <c r="AR75" s="80" t="str">
        <f>IF(MAX(AM75,AO75)=3,"ALTO",IF(MAX(AM75,AO75)=2,"MEDIO",IF(MAX(AM75,AO75)=1,"BAJO","  ")))</f>
        <v>ALTO</v>
      </c>
      <c r="AS75" s="80" t="str">
        <f>VLOOKUP($AG75,[14]Tipologías!$A$29:$C$33,3,FALSE)</f>
        <v>MEDIO</v>
      </c>
      <c r="AT75" s="80" t="str">
        <f>IF(SUM($AP75,$AQ75)&gt;=3,"ALTO",IF(SUM($AP75,$AQ75)&lt;2,"BAJO","MEDIO"))</f>
        <v>BAJO</v>
      </c>
      <c r="AU75" s="80" t="str">
        <f>_xlfn.IFNA(IF(AND(AR75="BAJO",AS75="BAJO",AT75="BAJO"),"BAJO",IF(AND(AR75="ALTO",AS75="ALTO",AT75="ALTO"),"ALTO",IF(COUNTIF(AR75:AT75,"ALTO")=2,"ALTO","MEDIO")))," ")</f>
        <v>MEDIO</v>
      </c>
      <c r="AV75" s="80" t="str">
        <f>_xlfn.IFNA(VLOOKUP(AD75,[14]Tipologías!$B$3:$G$17,4,0),"")</f>
        <v>INFORMACIÓN PÚBLICA CLASIFICADA</v>
      </c>
      <c r="AW75" s="80" t="str">
        <f>IF(AV75="INFORMACIÓN PÚBLICA","IPB",IF(AV75="INFORMACIÓN PÚBLICA CLASIFICADA","IPC",IF(AV75="INFORMACIÓN PÚBLICA RESERVADA","IPR",IF(AV75="",""))))</f>
        <v>IPC</v>
      </c>
      <c r="AX75" s="80" t="str">
        <f>_xlfn.IFNA(VLOOKUP(AD75,[14]Tipologías!$B$3:$G$17,3,0),"")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75" s="80" t="str">
        <f>_xlfn.IFNA(VLOOKUP(AD75,[14]Tipologías!$B$3:$G$17,5,0),"")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75" s="80" t="str">
        <f>_xlfn.IFNA(VLOOKUP(AD75,[14]Tipologías!$B$3:$G$17,6,0),"")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75" s="148" t="s">
        <v>197</v>
      </c>
      <c r="BB75" s="166">
        <v>45133</v>
      </c>
      <c r="BC75" s="148" t="s">
        <v>223</v>
      </c>
      <c r="BD75" s="146" t="s">
        <v>624</v>
      </c>
      <c r="BE75" s="146" t="s">
        <v>625</v>
      </c>
      <c r="BF75" s="45"/>
      <c r="BG75" s="45"/>
      <c r="BH75" s="45"/>
      <c r="BI75" s="45"/>
      <c r="BJ75" s="45"/>
      <c r="BK75" s="45"/>
      <c r="BL75" s="45"/>
      <c r="BM75" s="45"/>
      <c r="BN75" s="45"/>
      <c r="BO75" s="45"/>
      <c r="BP75" s="45"/>
      <c r="BQ75" s="45"/>
      <c r="BR75" s="45"/>
      <c r="BS75" s="45"/>
      <c r="BT75" s="45"/>
      <c r="BU75" s="45"/>
      <c r="BV75" s="45"/>
      <c r="BW75" s="45"/>
      <c r="BX75" s="45"/>
    </row>
    <row r="76" spans="1:76" s="67" customFormat="1" ht="207.75" customHeight="1" x14ac:dyDescent="0.2">
      <c r="A76" s="76">
        <v>67</v>
      </c>
      <c r="B76" s="110" t="s">
        <v>59</v>
      </c>
      <c r="C76" s="110" t="s">
        <v>302</v>
      </c>
      <c r="D76" s="100" t="s">
        <v>78</v>
      </c>
      <c r="E76" s="100" t="s">
        <v>626</v>
      </c>
      <c r="F76" s="110" t="s">
        <v>627</v>
      </c>
      <c r="G76" s="110" t="s">
        <v>141</v>
      </c>
      <c r="H76" s="111" t="s">
        <v>620</v>
      </c>
      <c r="I76" s="111" t="s">
        <v>628</v>
      </c>
      <c r="J76" s="115" t="s">
        <v>336</v>
      </c>
      <c r="K76" s="100" t="s">
        <v>320</v>
      </c>
      <c r="L76" s="100" t="s">
        <v>362</v>
      </c>
      <c r="M76" s="100" t="s">
        <v>195</v>
      </c>
      <c r="N76" s="100" t="s">
        <v>629</v>
      </c>
      <c r="O76" s="100" t="s">
        <v>151</v>
      </c>
      <c r="P76" s="100" t="s">
        <v>630</v>
      </c>
      <c r="Q76" s="148" t="s">
        <v>325</v>
      </c>
      <c r="R76" s="148" t="s">
        <v>325</v>
      </c>
      <c r="S76" s="100" t="s">
        <v>195</v>
      </c>
      <c r="T76" s="100" t="s">
        <v>195</v>
      </c>
      <c r="U76" s="146" t="s">
        <v>329</v>
      </c>
      <c r="V76" s="146" t="s">
        <v>195</v>
      </c>
      <c r="W76" s="146" t="s">
        <v>195</v>
      </c>
      <c r="X76" s="146" t="s">
        <v>195</v>
      </c>
      <c r="Y76" s="146" t="s">
        <v>195</v>
      </c>
      <c r="Z76" s="146" t="s">
        <v>195</v>
      </c>
      <c r="AA76" s="146" t="s">
        <v>195</v>
      </c>
      <c r="AB76" s="146" t="s">
        <v>195</v>
      </c>
      <c r="AC76" s="160" t="s">
        <v>195</v>
      </c>
      <c r="AD76" s="142" t="s">
        <v>89</v>
      </c>
      <c r="AE76" s="142" t="s">
        <v>130</v>
      </c>
      <c r="AF76" s="144" t="str">
        <f>AR76</f>
        <v>BAJO</v>
      </c>
      <c r="AG76" s="146" t="s">
        <v>104</v>
      </c>
      <c r="AH76" s="144" t="str">
        <f>_xlfn.IFNA((AS76),"")</f>
        <v>ALTO</v>
      </c>
      <c r="AI76" s="142" t="s">
        <v>114</v>
      </c>
      <c r="AJ76" s="146" t="s">
        <v>121</v>
      </c>
      <c r="AK76" s="144" t="str">
        <f>_xlfn.IFNA((AT76),"")</f>
        <v>MEDIO</v>
      </c>
      <c r="AL76" s="80" t="str">
        <f>VLOOKUP($AD76,[14]Tipologías!$B$3:$G$17,2,FALSE)</f>
        <v>BAJO</v>
      </c>
      <c r="AM76" s="80">
        <f t="shared" si="52"/>
        <v>1</v>
      </c>
      <c r="AN76" s="80" t="str">
        <f>VLOOKUP($AE76,[14]Tipologías!$A$21:$C$24,3,FALSE)</f>
        <v>BAJO</v>
      </c>
      <c r="AO76" s="80">
        <f t="shared" si="53"/>
        <v>1</v>
      </c>
      <c r="AP76" s="80">
        <f>VLOOKUP($AI76,[14]Tipologías!$A$38:$B$42,2,FALSE)</f>
        <v>1.5</v>
      </c>
      <c r="AQ76" s="80">
        <f>VLOOKUP($AJ76,[14]Tipologías!$A$46:$B$53,2,FALSE)</f>
        <v>1.25</v>
      </c>
      <c r="AR76" s="80" t="str">
        <f>IF(MAX(AM76,AO76)=3,"ALTO",IF(MAX(AM76,AO76)=2,"MEDIO",IF(MAX(AM76,AO76)=1,"BAJO","  ")))</f>
        <v>BAJO</v>
      </c>
      <c r="AS76" s="80" t="str">
        <f>VLOOKUP($AG76,[14]Tipologías!$A$29:$C$33,3,FALSE)</f>
        <v>ALTO</v>
      </c>
      <c r="AT76" s="80" t="str">
        <f>IF(SUM($AP76,$AQ76)&gt;=3,"ALTO",IF(SUM($AP76,$AQ76)&lt;2,"BAJO","MEDIO"))</f>
        <v>MEDIO</v>
      </c>
      <c r="AU76" s="80" t="str">
        <f>_xlfn.IFNA(IF(AND(AR76="BAJO",AS76="BAJO",AT76="BAJO"),"BAJO",IF(AND(AR76="ALTO",AS76="ALTO",AT76="ALTO"),"ALTO",IF(COUNTIF(AR76:AT76,"ALTO")=2,"ALTO","MEDIO")))," ")</f>
        <v>MEDIO</v>
      </c>
      <c r="AV76" s="80" t="str">
        <f>_xlfn.IFNA(VLOOKUP(AD76,[14]Tipologías!$B$3:$G$17,4,0),"")</f>
        <v>INFORMACIÓN PÚBLICA</v>
      </c>
      <c r="AW76" s="80" t="str">
        <f>IF(AV76="INFORMACIÓN PÚBLICA","IPB",IF(AV76="INFORMACIÓN PÚBLICA CLASIFICADA","IPC",IF(AV76="INFORMACIÓN PÚBLICA RESERVADA","IPR",IF(AV76="",""))))</f>
        <v>IPB</v>
      </c>
      <c r="AX76" s="80" t="str">
        <f>_xlfn.IFNA(VLOOKUP(AD76,[14]Tipologías!$B$3:$G$17,3,0),"")</f>
        <v>LEY 1712 DE 2014 LEY DE TRANSPARENCIA Y DERECHO DE ACCESO A LA INFORMACIÓN. ARTÍCULO 6 DEFINICIONES LITERAL B.</v>
      </c>
      <c r="AY76" s="80" t="str">
        <f>_xlfn.IFNA(VLOOKUP(AD76,[14]Tipologías!$B$3:$G$17,5,0),"")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76" s="80" t="str">
        <f>_xlfn.IFNA(VLOOKUP(AD76,[14]Tipologías!$B$3:$G$17,6,0),"")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76" s="148" t="s">
        <v>195</v>
      </c>
      <c r="BB76" s="166">
        <v>45133</v>
      </c>
      <c r="BC76" s="148" t="s">
        <v>195</v>
      </c>
      <c r="BD76" s="146" t="s">
        <v>631</v>
      </c>
      <c r="BE76" s="146" t="s">
        <v>625</v>
      </c>
      <c r="BF76" s="45"/>
      <c r="BG76" s="45"/>
      <c r="BH76" s="45"/>
      <c r="BI76" s="45"/>
      <c r="BJ76" s="45"/>
      <c r="BK76" s="45"/>
      <c r="BL76" s="45"/>
      <c r="BM76" s="45"/>
      <c r="BN76" s="45"/>
      <c r="BO76" s="45"/>
      <c r="BP76" s="45"/>
      <c r="BQ76" s="45"/>
      <c r="BR76" s="45"/>
      <c r="BS76" s="45"/>
      <c r="BT76" s="45"/>
      <c r="BU76" s="45"/>
      <c r="BV76" s="45"/>
      <c r="BW76" s="45"/>
      <c r="BX76" s="45"/>
    </row>
    <row r="77" spans="1:76" s="67" customFormat="1" ht="207.75" customHeight="1" x14ac:dyDescent="0.2">
      <c r="A77" s="76">
        <v>68</v>
      </c>
      <c r="B77" s="110" t="s">
        <v>59</v>
      </c>
      <c r="C77" s="110" t="s">
        <v>302</v>
      </c>
      <c r="D77" s="100" t="s">
        <v>78</v>
      </c>
      <c r="E77" s="109" t="s">
        <v>632</v>
      </c>
      <c r="F77" s="111" t="s">
        <v>633</v>
      </c>
      <c r="G77" s="110" t="s">
        <v>205</v>
      </c>
      <c r="H77" s="111" t="s">
        <v>620</v>
      </c>
      <c r="I77" s="111" t="s">
        <v>634</v>
      </c>
      <c r="J77" s="115" t="s">
        <v>336</v>
      </c>
      <c r="K77" s="100" t="s">
        <v>320</v>
      </c>
      <c r="L77" s="111" t="s">
        <v>321</v>
      </c>
      <c r="M77" s="100" t="s">
        <v>195</v>
      </c>
      <c r="N77" s="100" t="s">
        <v>621</v>
      </c>
      <c r="O77" s="100" t="s">
        <v>151</v>
      </c>
      <c r="P77" s="100" t="s">
        <v>540</v>
      </c>
      <c r="Q77" s="148"/>
      <c r="R77" s="148" t="s">
        <v>325</v>
      </c>
      <c r="S77" s="100" t="s">
        <v>348</v>
      </c>
      <c r="T77" s="100" t="s">
        <v>635</v>
      </c>
      <c r="U77" s="146" t="s">
        <v>328</v>
      </c>
      <c r="V77" s="146" t="s">
        <v>328</v>
      </c>
      <c r="W77" s="146" t="s">
        <v>328</v>
      </c>
      <c r="X77" s="146" t="s">
        <v>329</v>
      </c>
      <c r="Y77" s="146" t="s">
        <v>328</v>
      </c>
      <c r="Z77" s="146" t="s">
        <v>328</v>
      </c>
      <c r="AA77" s="146" t="s">
        <v>328</v>
      </c>
      <c r="AB77" s="146" t="s">
        <v>328</v>
      </c>
      <c r="AC77" s="160" t="s">
        <v>195</v>
      </c>
      <c r="AD77" s="142" t="s">
        <v>206</v>
      </c>
      <c r="AE77" s="142" t="s">
        <v>134</v>
      </c>
      <c r="AF77" s="144" t="str">
        <f t="shared" ref="AF77:AF88" si="64">AR77</f>
        <v>ALTO</v>
      </c>
      <c r="AG77" s="146" t="s">
        <v>102</v>
      </c>
      <c r="AH77" s="144" t="str">
        <f t="shared" ref="AH77:AH88" si="65">_xlfn.IFNA((AS77),"")</f>
        <v>MEDIO</v>
      </c>
      <c r="AI77" s="142" t="s">
        <v>111</v>
      </c>
      <c r="AJ77" s="146" t="s">
        <v>120</v>
      </c>
      <c r="AK77" s="144" t="str">
        <f t="shared" ref="AK77:AK88" si="66">_xlfn.IFNA((AT77),"")</f>
        <v>MEDIO</v>
      </c>
      <c r="AL77" s="80" t="str">
        <f>VLOOKUP($AD77,[14]Tipologías!$B$3:$G$17,2,FALSE)</f>
        <v>ALTO</v>
      </c>
      <c r="AM77" s="80">
        <f t="shared" si="52"/>
        <v>3</v>
      </c>
      <c r="AN77" s="80" t="str">
        <f>VLOOKUP($AE77,[14]Tipologías!$A$21:$C$24,3,FALSE)</f>
        <v>ALTO</v>
      </c>
      <c r="AO77" s="80">
        <f t="shared" si="53"/>
        <v>3</v>
      </c>
      <c r="AP77" s="80">
        <f>VLOOKUP($AI77,[14]Tipologías!$A$38:$B$42,2,FALSE)</f>
        <v>0.5</v>
      </c>
      <c r="AQ77" s="80">
        <f>VLOOKUP($AJ77,[14]Tipologías!$A$46:$B$53,2,FALSE)</f>
        <v>1.5</v>
      </c>
      <c r="AR77" s="80" t="str">
        <f>IF(MAX(AM77,AO77)=3,"ALTO",IF(MAX(AM77,AO77)=2,"MEDIO",IF(MAX(AM77,AO77)=1,"BAJO","  ")))</f>
        <v>ALTO</v>
      </c>
      <c r="AS77" s="80" t="str">
        <f>VLOOKUP($AG77,[14]Tipologías!$A$29:$C$33,3,FALSE)</f>
        <v>MEDIO</v>
      </c>
      <c r="AT77" s="80" t="str">
        <f>IF(SUM($AP77,$AQ77)&gt;=3,"ALTO",IF(SUM($AP77,$AQ77)&lt;2,"BAJO","MEDIO"))</f>
        <v>MEDIO</v>
      </c>
      <c r="AU77" s="80" t="str">
        <f>_xlfn.IFNA(IF(AND(AR77="BAJO",AS77="BAJO",AT77="BAJO"),"BAJO",IF(AND(AR77="ALTO",AS77="ALTO",AT77="ALTO"),"ALTO",IF(COUNTIF(AR77:AT77,"ALTO")=2,"ALTO","MEDIO")))," ")</f>
        <v>MEDIO</v>
      </c>
      <c r="AV77" s="147" t="str">
        <f>_xlfn.IFNA(VLOOKUP(AD77,[14]Tipologías!$B$3:$G$17,4,0),"")</f>
        <v>INFORMACIÓN PÚBLICA CLASIFICADA</v>
      </c>
      <c r="AW77" s="80" t="str">
        <f>IF(AV77="INFORMACIÓN PÚBLICA","IPB",IF(AV77="INFORMACIÓN PÚBLICA CLASIFICADA","IPC",IF(AV77="INFORMACIÓN PÚBLICA RESERVADA","IPR",IF(AV77="",""))))</f>
        <v>IPC</v>
      </c>
      <c r="AX77" s="147" t="str">
        <f>_xlfn.IFNA(VLOOKUP(AD77,[14]Tipologías!$B$3:$G$17,3,0),"")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77" s="147" t="str">
        <f>_xlfn.IFNA(VLOOKUP(AD77,[14]Tipologías!$B$3:$G$17,5,0),"")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77" s="80" t="str">
        <f>_xlfn.IFNA(VLOOKUP(AD77,[14]Tipologías!$B$3:$G$17,6,0),"")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77" s="148" t="s">
        <v>197</v>
      </c>
      <c r="BB77" s="166">
        <v>45133</v>
      </c>
      <c r="BC77" s="148" t="s">
        <v>229</v>
      </c>
      <c r="BD77" s="146" t="s">
        <v>636</v>
      </c>
      <c r="BE77" s="146" t="s">
        <v>625</v>
      </c>
      <c r="BF77" s="45"/>
      <c r="BG77" s="45"/>
      <c r="BH77" s="45"/>
      <c r="BI77" s="45"/>
      <c r="BJ77" s="45"/>
      <c r="BK77" s="45"/>
      <c r="BL77" s="45"/>
      <c r="BM77" s="45"/>
      <c r="BN77" s="45"/>
      <c r="BO77" s="45"/>
      <c r="BP77" s="45"/>
      <c r="BQ77" s="45"/>
      <c r="BR77" s="45"/>
      <c r="BS77" s="45"/>
      <c r="BT77" s="45"/>
      <c r="BU77" s="45"/>
      <c r="BV77" s="45"/>
      <c r="BW77" s="45"/>
      <c r="BX77" s="45"/>
    </row>
    <row r="78" spans="1:76" s="67" customFormat="1" ht="207.75" customHeight="1" x14ac:dyDescent="0.2">
      <c r="A78" s="76">
        <v>69</v>
      </c>
      <c r="B78" s="142" t="s">
        <v>59</v>
      </c>
      <c r="C78" s="142" t="s">
        <v>302</v>
      </c>
      <c r="D78" s="100" t="s">
        <v>78</v>
      </c>
      <c r="E78" s="100" t="s">
        <v>637</v>
      </c>
      <c r="F78" s="111" t="s">
        <v>638</v>
      </c>
      <c r="G78" s="142" t="s">
        <v>205</v>
      </c>
      <c r="H78" s="111" t="s">
        <v>620</v>
      </c>
      <c r="I78" s="111" t="s">
        <v>639</v>
      </c>
      <c r="J78" s="146" t="s">
        <v>336</v>
      </c>
      <c r="K78" s="100" t="s">
        <v>320</v>
      </c>
      <c r="L78" s="111" t="s">
        <v>321</v>
      </c>
      <c r="M78" s="100" t="s">
        <v>195</v>
      </c>
      <c r="N78" s="111" t="s">
        <v>640</v>
      </c>
      <c r="O78" s="100" t="s">
        <v>150</v>
      </c>
      <c r="P78" s="100" t="s">
        <v>641</v>
      </c>
      <c r="Q78" s="148" t="s">
        <v>325</v>
      </c>
      <c r="R78" s="148" t="s">
        <v>325</v>
      </c>
      <c r="S78" s="100" t="s">
        <v>348</v>
      </c>
      <c r="T78" s="100" t="s">
        <v>642</v>
      </c>
      <c r="U78" s="146" t="s">
        <v>328</v>
      </c>
      <c r="V78" s="146" t="s">
        <v>328</v>
      </c>
      <c r="W78" s="146" t="s">
        <v>329</v>
      </c>
      <c r="X78" s="146" t="s">
        <v>329</v>
      </c>
      <c r="Y78" s="146" t="s">
        <v>328</v>
      </c>
      <c r="Z78" s="146" t="s">
        <v>329</v>
      </c>
      <c r="AA78" s="146" t="s">
        <v>195</v>
      </c>
      <c r="AB78" s="146" t="s">
        <v>195</v>
      </c>
      <c r="AC78" s="160" t="s">
        <v>195</v>
      </c>
      <c r="AD78" s="142" t="s">
        <v>208</v>
      </c>
      <c r="AE78" s="142" t="s">
        <v>134</v>
      </c>
      <c r="AF78" s="144" t="str">
        <f t="shared" si="64"/>
        <v>ALTO</v>
      </c>
      <c r="AG78" s="146" t="s">
        <v>102</v>
      </c>
      <c r="AH78" s="144" t="str">
        <f t="shared" si="65"/>
        <v>MEDIO</v>
      </c>
      <c r="AI78" s="142" t="s">
        <v>111</v>
      </c>
      <c r="AJ78" s="146" t="s">
        <v>118</v>
      </c>
      <c r="AK78" s="144" t="str">
        <f t="shared" si="66"/>
        <v>MEDIO</v>
      </c>
      <c r="AL78" s="144" t="str">
        <f>VLOOKUP($AD78,[14]Tipologías!$B$3:$G$17,2,FALSE)</f>
        <v>ALTO</v>
      </c>
      <c r="AM78" s="144">
        <f t="shared" si="52"/>
        <v>3</v>
      </c>
      <c r="AN78" s="144" t="str">
        <f>VLOOKUP($AE78,[14]Tipologías!$A$21:$C$24,3,FALSE)</f>
        <v>ALTO</v>
      </c>
      <c r="AO78" s="144">
        <f t="shared" si="53"/>
        <v>3</v>
      </c>
      <c r="AP78" s="144">
        <f>VLOOKUP($AI78,[14]Tipologías!$A$38:$B$42,2,FALSE)</f>
        <v>0.5</v>
      </c>
      <c r="AQ78" s="144">
        <f>VLOOKUP($AJ78,[14]Tipologías!$A$46:$B$53,2,FALSE)</f>
        <v>2.25</v>
      </c>
      <c r="AR78" s="144" t="str">
        <f t="shared" ref="AR78:AR93" si="67">IF(MAX(AM78,AO78)=3,"ALTO",IF(MAX(AM78,AO78)=2,"MEDIO",IF(MAX(AM78,AO78)=1,"BAJO","  ")))</f>
        <v>ALTO</v>
      </c>
      <c r="AS78" s="144" t="str">
        <f>VLOOKUP($AG78,[14]Tipologías!$A$29:$C$33,3,FALSE)</f>
        <v>MEDIO</v>
      </c>
      <c r="AT78" s="144" t="str">
        <f t="shared" ref="AT78:AT93" si="68">IF(SUM($AP78,$AQ78)&gt;=3,"ALTO",IF(SUM($AP78,$AQ78)&lt;2,"BAJO","MEDIO"))</f>
        <v>MEDIO</v>
      </c>
      <c r="AU78" s="144" t="str">
        <f t="shared" ref="AU78:AU93" si="69">_xlfn.IFNA(IF(AND(AR78="BAJO",AS78="BAJO",AT78="BAJO"),"BAJO",IF(AND(AR78="ALTO",AS78="ALTO",AT78="ALTO"),"ALTO",IF(COUNTIF(AR78:AT78,"ALTO")=2,"ALTO","MEDIO")))," ")</f>
        <v>MEDIO</v>
      </c>
      <c r="AV78" s="144" t="str">
        <f>_xlfn.IFNA(VLOOKUP(AD78,[14]Tipologías!$B$3:$G$17,4,0),"")</f>
        <v>INFORMACIÓN PÚBLICA CLASIFICADA</v>
      </c>
      <c r="AW78" s="144" t="str">
        <f t="shared" ref="AW78:AW93" si="70">IF(AV78="INFORMACIÓN PÚBLICA","IPB",IF(AV78="INFORMACIÓN PÚBLICA CLASIFICADA","IPC",IF(AV78="INFORMACIÓN PÚBLICA RESERVADA","IPR",IF(AV78="",""))))</f>
        <v>IPC</v>
      </c>
      <c r="AX78" s="144" t="str">
        <f>_xlfn.IFNA(VLOOKUP(AD78,[14]Tipologías!$B$3:$G$17,3,0),"")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78" s="144" t="str">
        <f>_xlfn.IFNA(VLOOKUP(AD78,[14]Tipologías!$B$3:$G$17,5,0),"")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78" s="144" t="str">
        <f>_xlfn.IFNA(VLOOKUP(AD78,[14]Tipologías!$B$3:$G$17,6,0),"")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78" s="146" t="s">
        <v>197</v>
      </c>
      <c r="BB78" s="166">
        <v>45133</v>
      </c>
      <c r="BC78" s="148" t="s">
        <v>223</v>
      </c>
      <c r="BD78" s="146" t="s">
        <v>643</v>
      </c>
      <c r="BE78" s="146" t="s">
        <v>625</v>
      </c>
      <c r="BF78" s="45"/>
      <c r="BG78" s="45"/>
      <c r="BH78" s="45"/>
      <c r="BI78" s="45"/>
      <c r="BJ78" s="45"/>
      <c r="BK78" s="45"/>
      <c r="BL78" s="45"/>
      <c r="BM78" s="45"/>
      <c r="BN78" s="45"/>
      <c r="BO78" s="45"/>
      <c r="BP78" s="45"/>
      <c r="BQ78" s="45"/>
      <c r="BR78" s="45"/>
      <c r="BS78" s="45"/>
      <c r="BT78" s="45"/>
      <c r="BU78" s="45"/>
      <c r="BV78" s="45"/>
      <c r="BW78" s="45"/>
      <c r="BX78" s="45"/>
    </row>
    <row r="79" spans="1:76" s="67" customFormat="1" ht="207.75" customHeight="1" x14ac:dyDescent="0.2">
      <c r="A79" s="76">
        <v>70</v>
      </c>
      <c r="B79" s="142" t="s">
        <v>59</v>
      </c>
      <c r="C79" s="142" t="s">
        <v>302</v>
      </c>
      <c r="D79" s="100" t="s">
        <v>78</v>
      </c>
      <c r="E79" s="100" t="s">
        <v>644</v>
      </c>
      <c r="F79" s="111" t="s">
        <v>645</v>
      </c>
      <c r="G79" s="142" t="s">
        <v>205</v>
      </c>
      <c r="H79" s="111" t="s">
        <v>620</v>
      </c>
      <c r="I79" s="111" t="s">
        <v>639</v>
      </c>
      <c r="J79" s="146" t="s">
        <v>336</v>
      </c>
      <c r="K79" s="100" t="s">
        <v>320</v>
      </c>
      <c r="L79" s="111" t="s">
        <v>321</v>
      </c>
      <c r="M79" s="100" t="s">
        <v>195</v>
      </c>
      <c r="N79" s="111" t="s">
        <v>646</v>
      </c>
      <c r="O79" s="100" t="s">
        <v>150</v>
      </c>
      <c r="P79" s="100" t="s">
        <v>641</v>
      </c>
      <c r="Q79" s="148" t="s">
        <v>325</v>
      </c>
      <c r="R79" s="148" t="s">
        <v>325</v>
      </c>
      <c r="S79" s="100" t="s">
        <v>348</v>
      </c>
      <c r="T79" s="100" t="s">
        <v>647</v>
      </c>
      <c r="U79" s="146" t="s">
        <v>328</v>
      </c>
      <c r="V79" s="146" t="s">
        <v>328</v>
      </c>
      <c r="W79" s="146" t="s">
        <v>329</v>
      </c>
      <c r="X79" s="146" t="s">
        <v>329</v>
      </c>
      <c r="Y79" s="146" t="s">
        <v>329</v>
      </c>
      <c r="Z79" s="146" t="s">
        <v>329</v>
      </c>
      <c r="AA79" s="146" t="s">
        <v>195</v>
      </c>
      <c r="AB79" s="146" t="s">
        <v>195</v>
      </c>
      <c r="AC79" s="160" t="s">
        <v>195</v>
      </c>
      <c r="AD79" s="142" t="s">
        <v>208</v>
      </c>
      <c r="AE79" s="142" t="s">
        <v>134</v>
      </c>
      <c r="AF79" s="144" t="str">
        <f t="shared" si="64"/>
        <v>ALTO</v>
      </c>
      <c r="AG79" s="146" t="s">
        <v>102</v>
      </c>
      <c r="AH79" s="144" t="str">
        <f t="shared" si="65"/>
        <v>MEDIO</v>
      </c>
      <c r="AI79" s="142" t="s">
        <v>111</v>
      </c>
      <c r="AJ79" s="146" t="s">
        <v>118</v>
      </c>
      <c r="AK79" s="144" t="str">
        <f t="shared" si="66"/>
        <v>MEDIO</v>
      </c>
      <c r="AL79" s="144" t="str">
        <f>VLOOKUP($AD79,[14]Tipologías!$B$3:$G$17,2,FALSE)</f>
        <v>ALTO</v>
      </c>
      <c r="AM79" s="144">
        <f t="shared" si="52"/>
        <v>3</v>
      </c>
      <c r="AN79" s="144" t="str">
        <f>VLOOKUP($AE79,[14]Tipologías!$A$21:$C$24,3,FALSE)</f>
        <v>ALTO</v>
      </c>
      <c r="AO79" s="144">
        <f t="shared" si="53"/>
        <v>3</v>
      </c>
      <c r="AP79" s="144">
        <f>VLOOKUP($AI79,[14]Tipologías!$A$38:$B$42,2,FALSE)</f>
        <v>0.5</v>
      </c>
      <c r="AQ79" s="144">
        <f>VLOOKUP($AJ79,[14]Tipologías!$A$46:$B$53,2,FALSE)</f>
        <v>2.25</v>
      </c>
      <c r="AR79" s="144" t="str">
        <f t="shared" si="67"/>
        <v>ALTO</v>
      </c>
      <c r="AS79" s="144" t="str">
        <f>VLOOKUP($AG79,[14]Tipologías!$A$29:$C$33,3,FALSE)</f>
        <v>MEDIO</v>
      </c>
      <c r="AT79" s="144" t="str">
        <f t="shared" si="68"/>
        <v>MEDIO</v>
      </c>
      <c r="AU79" s="144" t="str">
        <f t="shared" si="69"/>
        <v>MEDIO</v>
      </c>
      <c r="AV79" s="144" t="str">
        <f>_xlfn.IFNA(VLOOKUP(AD79,[14]Tipologías!$B$3:$G$17,4,0),"")</f>
        <v>INFORMACIÓN PÚBLICA CLASIFICADA</v>
      </c>
      <c r="AW79" s="144" t="str">
        <f t="shared" si="70"/>
        <v>IPC</v>
      </c>
      <c r="AX79" s="144" t="str">
        <f>_xlfn.IFNA(VLOOKUP(AD79,[14]Tipologías!$B$3:$G$17,3,0),"")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79" s="144" t="str">
        <f>_xlfn.IFNA(VLOOKUP(AD79,[14]Tipologías!$B$3:$G$17,5,0),"")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79" s="144" t="str">
        <f>_xlfn.IFNA(VLOOKUP(AD79,[14]Tipologías!$B$3:$G$17,6,0),"")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79" s="148" t="s">
        <v>197</v>
      </c>
      <c r="BB79" s="166">
        <v>45133</v>
      </c>
      <c r="BC79" s="148" t="s">
        <v>227</v>
      </c>
      <c r="BD79" s="146" t="s">
        <v>643</v>
      </c>
      <c r="BE79" s="146" t="s">
        <v>625</v>
      </c>
      <c r="BF79" s="45"/>
      <c r="BG79" s="45"/>
      <c r="BH79" s="45"/>
      <c r="BI79" s="45"/>
      <c r="BJ79" s="45"/>
      <c r="BK79" s="45"/>
      <c r="BL79" s="45"/>
      <c r="BM79" s="45"/>
      <c r="BN79" s="45"/>
      <c r="BO79" s="45"/>
      <c r="BP79" s="45"/>
      <c r="BQ79" s="45"/>
      <c r="BR79" s="45"/>
      <c r="BS79" s="45"/>
      <c r="BT79" s="45"/>
      <c r="BU79" s="45"/>
      <c r="BV79" s="45"/>
      <c r="BW79" s="45"/>
      <c r="BX79" s="45"/>
    </row>
    <row r="80" spans="1:76" s="67" customFormat="1" ht="207.75" customHeight="1" x14ac:dyDescent="0.2">
      <c r="A80" s="76">
        <v>71</v>
      </c>
      <c r="B80" s="110" t="s">
        <v>59</v>
      </c>
      <c r="C80" s="110" t="s">
        <v>302</v>
      </c>
      <c r="D80" s="100" t="s">
        <v>78</v>
      </c>
      <c r="E80" s="109" t="s">
        <v>648</v>
      </c>
      <c r="F80" s="111" t="s">
        <v>649</v>
      </c>
      <c r="G80" s="110" t="s">
        <v>174</v>
      </c>
      <c r="H80" s="111" t="s">
        <v>620</v>
      </c>
      <c r="I80" s="111" t="s">
        <v>620</v>
      </c>
      <c r="J80" s="115" t="s">
        <v>336</v>
      </c>
      <c r="K80" s="100" t="s">
        <v>320</v>
      </c>
      <c r="L80" s="111" t="s">
        <v>321</v>
      </c>
      <c r="M80" s="100" t="s">
        <v>195</v>
      </c>
      <c r="N80" s="111" t="s">
        <v>640</v>
      </c>
      <c r="O80" s="100" t="s">
        <v>151</v>
      </c>
      <c r="P80" s="100" t="s">
        <v>596</v>
      </c>
      <c r="Q80" s="148"/>
      <c r="R80" s="148" t="s">
        <v>325</v>
      </c>
      <c r="S80" s="100" t="s">
        <v>650</v>
      </c>
      <c r="T80" s="100" t="s">
        <v>651</v>
      </c>
      <c r="U80" s="146" t="s">
        <v>328</v>
      </c>
      <c r="V80" s="146" t="s">
        <v>328</v>
      </c>
      <c r="W80" s="146" t="s">
        <v>328</v>
      </c>
      <c r="X80" s="146" t="s">
        <v>329</v>
      </c>
      <c r="Y80" s="146" t="s">
        <v>328</v>
      </c>
      <c r="Z80" s="146" t="s">
        <v>328</v>
      </c>
      <c r="AA80" s="146" t="s">
        <v>328</v>
      </c>
      <c r="AB80" s="146" t="s">
        <v>328</v>
      </c>
      <c r="AC80" s="160" t="s">
        <v>195</v>
      </c>
      <c r="AD80" s="142" t="s">
        <v>206</v>
      </c>
      <c r="AE80" s="142" t="s">
        <v>134</v>
      </c>
      <c r="AF80" s="144" t="str">
        <f t="shared" si="64"/>
        <v>ALTO</v>
      </c>
      <c r="AG80" s="146" t="s">
        <v>102</v>
      </c>
      <c r="AH80" s="144" t="str">
        <f t="shared" si="65"/>
        <v>MEDIO</v>
      </c>
      <c r="AI80" s="142" t="s">
        <v>115</v>
      </c>
      <c r="AJ80" s="146" t="s">
        <v>120</v>
      </c>
      <c r="AK80" s="144" t="str">
        <f t="shared" si="66"/>
        <v>ALTO</v>
      </c>
      <c r="AL80" s="80" t="str">
        <f>VLOOKUP($AD80,[14]Tipologías!$B$3:$G$17,2,FALSE)</f>
        <v>ALTO</v>
      </c>
      <c r="AM80" s="80">
        <f t="shared" si="52"/>
        <v>3</v>
      </c>
      <c r="AN80" s="80" t="str">
        <f>VLOOKUP($AE80,[14]Tipologías!$A$21:$C$24,3,FALSE)</f>
        <v>ALTO</v>
      </c>
      <c r="AO80" s="80">
        <f t="shared" si="53"/>
        <v>3</v>
      </c>
      <c r="AP80" s="80">
        <f>VLOOKUP($AI80,[14]Tipologías!$A$38:$B$42,2,FALSE)</f>
        <v>2</v>
      </c>
      <c r="AQ80" s="80">
        <f>VLOOKUP($AJ80,[14]Tipologías!$A$46:$B$53,2,FALSE)</f>
        <v>1.5</v>
      </c>
      <c r="AR80" s="80" t="str">
        <f t="shared" si="67"/>
        <v>ALTO</v>
      </c>
      <c r="AS80" s="80" t="str">
        <f>VLOOKUP($AG80,[14]Tipologías!$A$29:$C$33,3,FALSE)</f>
        <v>MEDIO</v>
      </c>
      <c r="AT80" s="80" t="str">
        <f t="shared" si="68"/>
        <v>ALTO</v>
      </c>
      <c r="AU80" s="80" t="str">
        <f t="shared" si="69"/>
        <v>ALTO</v>
      </c>
      <c r="AV80" s="80" t="str">
        <f>_xlfn.IFNA(VLOOKUP(AD80,[14]Tipologías!$B$3:$G$17,4,0),"")</f>
        <v>INFORMACIÓN PÚBLICA CLASIFICADA</v>
      </c>
      <c r="AW80" s="80" t="str">
        <f t="shared" si="70"/>
        <v>IPC</v>
      </c>
      <c r="AX80" s="80" t="str">
        <f>_xlfn.IFNA(VLOOKUP(AD80,[14]Tipologías!$B$3:$G$17,3,0),"")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80" s="80" t="str">
        <f>_xlfn.IFNA(VLOOKUP(AD80,[14]Tipologías!$B$3:$G$17,5,0),"")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80" s="80" t="str">
        <f>_xlfn.IFNA(VLOOKUP(AD80,[14]Tipologías!$B$3:$G$17,6,0),"")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80" s="148" t="s">
        <v>197</v>
      </c>
      <c r="BB80" s="166">
        <v>45133</v>
      </c>
      <c r="BC80" s="148" t="s">
        <v>201</v>
      </c>
      <c r="BD80" s="146" t="s">
        <v>652</v>
      </c>
      <c r="BE80" s="146" t="s">
        <v>625</v>
      </c>
      <c r="BF80" s="45"/>
      <c r="BG80" s="45"/>
      <c r="BH80" s="45"/>
      <c r="BI80" s="45"/>
      <c r="BJ80" s="45"/>
      <c r="BK80" s="45"/>
      <c r="BL80" s="45"/>
      <c r="BM80" s="45"/>
      <c r="BN80" s="45"/>
      <c r="BO80" s="45"/>
      <c r="BP80" s="45"/>
      <c r="BQ80" s="45"/>
      <c r="BR80" s="45"/>
      <c r="BS80" s="45"/>
      <c r="BT80" s="45"/>
      <c r="BU80" s="45"/>
      <c r="BV80" s="45"/>
      <c r="BW80" s="45"/>
      <c r="BX80" s="45"/>
    </row>
    <row r="81" spans="1:76" s="67" customFormat="1" ht="207.75" customHeight="1" x14ac:dyDescent="0.2">
      <c r="A81" s="76">
        <v>72</v>
      </c>
      <c r="B81" s="110" t="s">
        <v>59</v>
      </c>
      <c r="C81" s="110" t="s">
        <v>302</v>
      </c>
      <c r="D81" s="100" t="s">
        <v>78</v>
      </c>
      <c r="E81" s="109" t="s">
        <v>653</v>
      </c>
      <c r="F81" s="110" t="s">
        <v>654</v>
      </c>
      <c r="G81" s="110" t="s">
        <v>140</v>
      </c>
      <c r="H81" s="110" t="s">
        <v>620</v>
      </c>
      <c r="I81" s="110" t="s">
        <v>284</v>
      </c>
      <c r="J81" s="115" t="s">
        <v>336</v>
      </c>
      <c r="K81" s="100" t="s">
        <v>320</v>
      </c>
      <c r="L81" s="111" t="s">
        <v>321</v>
      </c>
      <c r="M81" s="157" t="s">
        <v>195</v>
      </c>
      <c r="N81" s="111" t="s">
        <v>640</v>
      </c>
      <c r="O81" s="100" t="s">
        <v>151</v>
      </c>
      <c r="P81" s="157" t="s">
        <v>655</v>
      </c>
      <c r="Q81" s="148" t="s">
        <v>325</v>
      </c>
      <c r="R81" s="148"/>
      <c r="S81" s="157" t="s">
        <v>195</v>
      </c>
      <c r="T81" s="157" t="s">
        <v>195</v>
      </c>
      <c r="U81" s="146" t="s">
        <v>329</v>
      </c>
      <c r="V81" s="146" t="s">
        <v>328</v>
      </c>
      <c r="W81" s="146" t="s">
        <v>328</v>
      </c>
      <c r="X81" s="146" t="s">
        <v>329</v>
      </c>
      <c r="Y81" s="146" t="s">
        <v>329</v>
      </c>
      <c r="Z81" s="146" t="s">
        <v>329</v>
      </c>
      <c r="AA81" s="146" t="s">
        <v>195</v>
      </c>
      <c r="AB81" s="146" t="s">
        <v>195</v>
      </c>
      <c r="AC81" s="157" t="s">
        <v>195</v>
      </c>
      <c r="AD81" s="142" t="s">
        <v>208</v>
      </c>
      <c r="AE81" s="142" t="s">
        <v>134</v>
      </c>
      <c r="AF81" s="144" t="str">
        <f t="shared" si="64"/>
        <v>ALTO</v>
      </c>
      <c r="AG81" s="146" t="s">
        <v>104</v>
      </c>
      <c r="AH81" s="144" t="str">
        <f t="shared" si="65"/>
        <v>ALTO</v>
      </c>
      <c r="AI81" s="142" t="s">
        <v>115</v>
      </c>
      <c r="AJ81" s="146" t="s">
        <v>117</v>
      </c>
      <c r="AK81" s="144" t="str">
        <f t="shared" si="66"/>
        <v>ALTO</v>
      </c>
      <c r="AL81" s="80" t="str">
        <f>VLOOKUP($AD81,[14]Tipologías!$B$3:$G$17,2,FALSE)</f>
        <v>ALTO</v>
      </c>
      <c r="AM81" s="80">
        <f t="shared" si="52"/>
        <v>3</v>
      </c>
      <c r="AN81" s="80" t="str">
        <f>VLOOKUP($AE81,[14]Tipologías!$A$21:$C$24,3,FALSE)</f>
        <v>ALTO</v>
      </c>
      <c r="AO81" s="80">
        <f t="shared" si="53"/>
        <v>3</v>
      </c>
      <c r="AP81" s="80">
        <f>VLOOKUP($AI81,[14]Tipologías!$A$38:$B$42,2,FALSE)</f>
        <v>2</v>
      </c>
      <c r="AQ81" s="80">
        <f>VLOOKUP($AJ81,[14]Tipologías!$A$46:$B$53,2,FALSE)</f>
        <v>2.5</v>
      </c>
      <c r="AR81" s="80" t="str">
        <f t="shared" si="67"/>
        <v>ALTO</v>
      </c>
      <c r="AS81" s="80" t="str">
        <f>VLOOKUP($AG81,[14]Tipologías!$A$29:$C$33,3,FALSE)</f>
        <v>ALTO</v>
      </c>
      <c r="AT81" s="80" t="str">
        <f t="shared" si="68"/>
        <v>ALTO</v>
      </c>
      <c r="AU81" s="80" t="str">
        <f t="shared" si="69"/>
        <v>ALTO</v>
      </c>
      <c r="AV81" s="80" t="str">
        <f>_xlfn.IFNA(VLOOKUP(AD81,[14]Tipologías!$B$3:$G$17,4,0),"")</f>
        <v>INFORMACIÓN PÚBLICA CLASIFICADA</v>
      </c>
      <c r="AW81" s="80" t="str">
        <f t="shared" si="70"/>
        <v>IPC</v>
      </c>
      <c r="AX81" s="80" t="str">
        <f>_xlfn.IFNA(VLOOKUP(AD81,[14]Tipologías!$B$3:$G$17,3,0),"")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81" s="80" t="str">
        <f>_xlfn.IFNA(VLOOKUP(AD81,[14]Tipologías!$B$3:$G$17,5,0),"")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81" s="80" t="str">
        <f>_xlfn.IFNA(VLOOKUP(AD81,[14]Tipologías!$B$3:$G$17,6,0),"")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81" s="148" t="s">
        <v>195</v>
      </c>
      <c r="BB81" s="166">
        <v>45133</v>
      </c>
      <c r="BC81" s="148" t="s">
        <v>195</v>
      </c>
      <c r="BD81" s="146" t="s">
        <v>652</v>
      </c>
      <c r="BE81" s="146" t="s">
        <v>625</v>
      </c>
      <c r="BF81" s="45"/>
      <c r="BG81" s="45"/>
      <c r="BH81" s="45"/>
      <c r="BI81" s="45"/>
      <c r="BJ81" s="45"/>
      <c r="BK81" s="45"/>
      <c r="BL81" s="45"/>
      <c r="BM81" s="45"/>
      <c r="BN81" s="45"/>
      <c r="BO81" s="45"/>
      <c r="BP81" s="45"/>
      <c r="BQ81" s="45"/>
      <c r="BR81" s="45"/>
      <c r="BS81" s="45"/>
      <c r="BT81" s="45"/>
      <c r="BU81" s="45"/>
      <c r="BV81" s="45"/>
      <c r="BW81" s="45"/>
      <c r="BX81" s="45"/>
    </row>
    <row r="82" spans="1:76" s="67" customFormat="1" ht="207.75" customHeight="1" x14ac:dyDescent="0.2">
      <c r="A82" s="76">
        <v>73</v>
      </c>
      <c r="B82" s="110" t="s">
        <v>59</v>
      </c>
      <c r="C82" s="110" t="s">
        <v>302</v>
      </c>
      <c r="D82" s="100" t="s">
        <v>78</v>
      </c>
      <c r="E82" s="109" t="s">
        <v>656</v>
      </c>
      <c r="F82" s="111" t="s">
        <v>657</v>
      </c>
      <c r="G82" s="110" t="s">
        <v>173</v>
      </c>
      <c r="H82" s="111" t="s">
        <v>620</v>
      </c>
      <c r="I82" s="111" t="s">
        <v>620</v>
      </c>
      <c r="J82" s="100" t="s">
        <v>195</v>
      </c>
      <c r="K82" s="100" t="s">
        <v>320</v>
      </c>
      <c r="L82" s="111" t="s">
        <v>321</v>
      </c>
      <c r="M82" s="100" t="s">
        <v>195</v>
      </c>
      <c r="N82" s="111" t="s">
        <v>195</v>
      </c>
      <c r="O82" s="100" t="s">
        <v>195</v>
      </c>
      <c r="P82" s="100" t="s">
        <v>195</v>
      </c>
      <c r="Q82" s="100" t="s">
        <v>195</v>
      </c>
      <c r="R82" s="100" t="s">
        <v>195</v>
      </c>
      <c r="S82" s="100" t="s">
        <v>195</v>
      </c>
      <c r="T82" s="100" t="s">
        <v>195</v>
      </c>
      <c r="U82" s="146" t="s">
        <v>195</v>
      </c>
      <c r="V82" s="146" t="s">
        <v>195</v>
      </c>
      <c r="W82" s="146" t="s">
        <v>195</v>
      </c>
      <c r="X82" s="146" t="s">
        <v>195</v>
      </c>
      <c r="Y82" s="146" t="s">
        <v>195</v>
      </c>
      <c r="Z82" s="146" t="s">
        <v>195</v>
      </c>
      <c r="AA82" s="146" t="s">
        <v>195</v>
      </c>
      <c r="AB82" s="146" t="s">
        <v>195</v>
      </c>
      <c r="AC82" s="157" t="s">
        <v>195</v>
      </c>
      <c r="AD82" s="142" t="s">
        <v>208</v>
      </c>
      <c r="AE82" s="142" t="s">
        <v>134</v>
      </c>
      <c r="AF82" s="144" t="str">
        <f t="shared" si="64"/>
        <v>ALTO</v>
      </c>
      <c r="AG82" s="146" t="s">
        <v>104</v>
      </c>
      <c r="AH82" s="144" t="str">
        <f t="shared" si="65"/>
        <v>ALTO</v>
      </c>
      <c r="AI82" s="142" t="s">
        <v>111</v>
      </c>
      <c r="AJ82" s="146" t="s">
        <v>123</v>
      </c>
      <c r="AK82" s="144" t="str">
        <f t="shared" si="66"/>
        <v>BAJO</v>
      </c>
      <c r="AL82" s="80" t="str">
        <f>VLOOKUP($AD82,[14]Tipologías!$B$3:$G$17,2,FALSE)</f>
        <v>ALTO</v>
      </c>
      <c r="AM82" s="80">
        <f t="shared" si="52"/>
        <v>3</v>
      </c>
      <c r="AN82" s="80" t="str">
        <f>VLOOKUP($AE82,[14]Tipologías!$A$21:$C$24,3,FALSE)</f>
        <v>ALTO</v>
      </c>
      <c r="AO82" s="80">
        <f t="shared" si="53"/>
        <v>3</v>
      </c>
      <c r="AP82" s="80">
        <f>VLOOKUP($AI82,[14]Tipologías!$A$38:$B$42,2,FALSE)</f>
        <v>0.5</v>
      </c>
      <c r="AQ82" s="80">
        <f>VLOOKUP($AJ82,[14]Tipologías!$A$46:$B$53,2,FALSE)</f>
        <v>0.5</v>
      </c>
      <c r="AR82" s="80" t="str">
        <f t="shared" si="67"/>
        <v>ALTO</v>
      </c>
      <c r="AS82" s="80" t="str">
        <f>VLOOKUP($AG82,[14]Tipologías!$A$29:$C$33,3,FALSE)</f>
        <v>ALTO</v>
      </c>
      <c r="AT82" s="80" t="str">
        <f t="shared" si="68"/>
        <v>BAJO</v>
      </c>
      <c r="AU82" s="80" t="str">
        <f t="shared" si="69"/>
        <v>ALTO</v>
      </c>
      <c r="AV82" s="80" t="str">
        <f>_xlfn.IFNA(VLOOKUP(AD82,[14]Tipologías!$B$3:$G$17,4,0),"")</f>
        <v>INFORMACIÓN PÚBLICA CLASIFICADA</v>
      </c>
      <c r="AW82" s="80" t="str">
        <f t="shared" si="70"/>
        <v>IPC</v>
      </c>
      <c r="AX82" s="80" t="str">
        <f>_xlfn.IFNA(VLOOKUP(AD82,[14]Tipologías!$B$3:$G$17,3,0),"")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82" s="80" t="str">
        <f>_xlfn.IFNA(VLOOKUP(AD82,[14]Tipologías!$B$3:$G$17,5,0),"")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82" s="80" t="str">
        <f>_xlfn.IFNA(VLOOKUP(AD82,[14]Tipologías!$B$3:$G$17,6,0),"")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82" s="148" t="s">
        <v>195</v>
      </c>
      <c r="BB82" s="166">
        <v>45133</v>
      </c>
      <c r="BC82" s="148" t="s">
        <v>195</v>
      </c>
      <c r="BD82" s="146" t="s">
        <v>652</v>
      </c>
      <c r="BE82" s="146" t="s">
        <v>625</v>
      </c>
      <c r="BF82" s="45"/>
      <c r="BG82" s="45"/>
      <c r="BH82" s="45"/>
      <c r="BI82" s="45"/>
      <c r="BJ82" s="45"/>
      <c r="BK82" s="45"/>
      <c r="BL82" s="45"/>
      <c r="BM82" s="45"/>
      <c r="BN82" s="45"/>
      <c r="BO82" s="45"/>
      <c r="BP82" s="45"/>
      <c r="BQ82" s="45"/>
      <c r="BR82" s="45"/>
      <c r="BS82" s="45"/>
      <c r="BT82" s="45"/>
      <c r="BU82" s="45"/>
      <c r="BV82" s="45"/>
      <c r="BW82" s="45"/>
      <c r="BX82" s="45"/>
    </row>
    <row r="83" spans="1:76" s="67" customFormat="1" ht="207.75" customHeight="1" x14ac:dyDescent="0.2">
      <c r="A83" s="76">
        <v>74</v>
      </c>
      <c r="B83" s="110" t="s">
        <v>59</v>
      </c>
      <c r="C83" s="110" t="s">
        <v>302</v>
      </c>
      <c r="D83" s="100" t="s">
        <v>78</v>
      </c>
      <c r="E83" s="100" t="s">
        <v>658</v>
      </c>
      <c r="F83" s="111" t="s">
        <v>659</v>
      </c>
      <c r="G83" s="110" t="s">
        <v>140</v>
      </c>
      <c r="H83" s="111" t="s">
        <v>620</v>
      </c>
      <c r="I83" s="111" t="s">
        <v>284</v>
      </c>
      <c r="J83" s="115" t="s">
        <v>336</v>
      </c>
      <c r="K83" s="100" t="s">
        <v>320</v>
      </c>
      <c r="L83" s="111" t="s">
        <v>321</v>
      </c>
      <c r="M83" s="100" t="s">
        <v>195</v>
      </c>
      <c r="N83" s="111" t="s">
        <v>660</v>
      </c>
      <c r="O83" s="100" t="s">
        <v>151</v>
      </c>
      <c r="P83" s="100" t="s">
        <v>661</v>
      </c>
      <c r="Q83" s="148" t="s">
        <v>325</v>
      </c>
      <c r="R83" s="148"/>
      <c r="S83" s="100" t="s">
        <v>195</v>
      </c>
      <c r="T83" s="100" t="s">
        <v>195</v>
      </c>
      <c r="U83" s="146" t="s">
        <v>329</v>
      </c>
      <c r="V83" s="146" t="s">
        <v>195</v>
      </c>
      <c r="W83" s="146" t="s">
        <v>195</v>
      </c>
      <c r="X83" s="146" t="s">
        <v>195</v>
      </c>
      <c r="Y83" s="146" t="s">
        <v>195</v>
      </c>
      <c r="Z83" s="146" t="s">
        <v>195</v>
      </c>
      <c r="AA83" s="146" t="s">
        <v>195</v>
      </c>
      <c r="AB83" s="146" t="s">
        <v>195</v>
      </c>
      <c r="AC83" s="160" t="s">
        <v>195</v>
      </c>
      <c r="AD83" s="142" t="s">
        <v>208</v>
      </c>
      <c r="AE83" s="142" t="s">
        <v>134</v>
      </c>
      <c r="AF83" s="144" t="str">
        <f t="shared" si="64"/>
        <v>ALTO</v>
      </c>
      <c r="AG83" s="146" t="s">
        <v>104</v>
      </c>
      <c r="AH83" s="144" t="str">
        <f t="shared" si="65"/>
        <v>ALTO</v>
      </c>
      <c r="AI83" s="142" t="s">
        <v>115</v>
      </c>
      <c r="AJ83" s="146" t="s">
        <v>117</v>
      </c>
      <c r="AK83" s="144" t="str">
        <f t="shared" si="66"/>
        <v>ALTO</v>
      </c>
      <c r="AL83" s="80" t="str">
        <f>VLOOKUP($AD83,[14]Tipologías!$B$3:$G$17,2,FALSE)</f>
        <v>ALTO</v>
      </c>
      <c r="AM83" s="80">
        <f t="shared" si="52"/>
        <v>3</v>
      </c>
      <c r="AN83" s="80" t="str">
        <f>VLOOKUP($AE83,[14]Tipologías!$A$21:$C$24,3,FALSE)</f>
        <v>ALTO</v>
      </c>
      <c r="AO83" s="80">
        <f t="shared" si="53"/>
        <v>3</v>
      </c>
      <c r="AP83" s="80">
        <f>VLOOKUP($AI83,[14]Tipologías!$A$38:$B$42,2,FALSE)</f>
        <v>2</v>
      </c>
      <c r="AQ83" s="80">
        <f>VLOOKUP($AJ83,[14]Tipologías!$A$46:$B$53,2,FALSE)</f>
        <v>2.5</v>
      </c>
      <c r="AR83" s="80" t="str">
        <f t="shared" si="67"/>
        <v>ALTO</v>
      </c>
      <c r="AS83" s="80" t="str">
        <f>VLOOKUP($AG83,[14]Tipologías!$A$29:$C$33,3,FALSE)</f>
        <v>ALTO</v>
      </c>
      <c r="AT83" s="80" t="str">
        <f t="shared" si="68"/>
        <v>ALTO</v>
      </c>
      <c r="AU83" s="80" t="str">
        <f t="shared" si="69"/>
        <v>ALTO</v>
      </c>
      <c r="AV83" s="80" t="str">
        <f>_xlfn.IFNA(VLOOKUP(AD83,[14]Tipologías!$B$3:$G$17,4,0),"")</f>
        <v>INFORMACIÓN PÚBLICA CLASIFICADA</v>
      </c>
      <c r="AW83" s="80" t="str">
        <f t="shared" si="70"/>
        <v>IPC</v>
      </c>
      <c r="AX83" s="80" t="str">
        <f>_xlfn.IFNA(VLOOKUP(AD83,[14]Tipologías!$B$3:$G$17,3,0),"")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83" s="80" t="str">
        <f>_xlfn.IFNA(VLOOKUP(AD83,[14]Tipologías!$B$3:$G$17,5,0),"")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83" s="80" t="str">
        <f>_xlfn.IFNA(VLOOKUP(AD83,[14]Tipologías!$B$3:$G$17,6,0),"")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83" s="148" t="s">
        <v>196</v>
      </c>
      <c r="BB83" s="166">
        <v>45133</v>
      </c>
      <c r="BC83" s="148" t="s">
        <v>201</v>
      </c>
      <c r="BD83" s="146" t="s">
        <v>662</v>
      </c>
      <c r="BE83" s="146" t="s">
        <v>625</v>
      </c>
      <c r="BF83" s="45"/>
      <c r="BG83" s="45"/>
      <c r="BH83" s="45"/>
      <c r="BI83" s="45"/>
      <c r="BJ83" s="45"/>
      <c r="BK83" s="45"/>
      <c r="BL83" s="45"/>
      <c r="BM83" s="45"/>
      <c r="BN83" s="45"/>
      <c r="BO83" s="45"/>
      <c r="BP83" s="45"/>
      <c r="BQ83" s="45"/>
      <c r="BR83" s="45"/>
      <c r="BS83" s="45"/>
      <c r="BT83" s="45"/>
      <c r="BU83" s="45"/>
      <c r="BV83" s="45"/>
      <c r="BW83" s="45"/>
      <c r="BX83" s="45"/>
    </row>
    <row r="84" spans="1:76" s="67" customFormat="1" ht="207.75" customHeight="1" x14ac:dyDescent="0.2">
      <c r="A84" s="76">
        <v>75</v>
      </c>
      <c r="B84" s="110" t="s">
        <v>59</v>
      </c>
      <c r="C84" s="110" t="s">
        <v>302</v>
      </c>
      <c r="D84" s="100" t="s">
        <v>78</v>
      </c>
      <c r="E84" s="100" t="s">
        <v>663</v>
      </c>
      <c r="F84" s="111" t="s">
        <v>664</v>
      </c>
      <c r="G84" s="110" t="s">
        <v>174</v>
      </c>
      <c r="H84" s="111" t="s">
        <v>620</v>
      </c>
      <c r="I84" s="111" t="s">
        <v>284</v>
      </c>
      <c r="J84" s="115" t="s">
        <v>336</v>
      </c>
      <c r="K84" s="100" t="s">
        <v>320</v>
      </c>
      <c r="L84" s="111" t="s">
        <v>321</v>
      </c>
      <c r="M84" s="100" t="s">
        <v>195</v>
      </c>
      <c r="N84" s="111" t="s">
        <v>640</v>
      </c>
      <c r="O84" s="100" t="s">
        <v>151</v>
      </c>
      <c r="P84" s="100" t="s">
        <v>665</v>
      </c>
      <c r="Q84" s="148" t="s">
        <v>325</v>
      </c>
      <c r="R84" s="148" t="s">
        <v>325</v>
      </c>
      <c r="S84" s="100" t="s">
        <v>195</v>
      </c>
      <c r="T84" s="100" t="s">
        <v>195</v>
      </c>
      <c r="U84" s="146" t="s">
        <v>328</v>
      </c>
      <c r="V84" s="146" t="s">
        <v>328</v>
      </c>
      <c r="W84" s="146" t="s">
        <v>328</v>
      </c>
      <c r="X84" s="146" t="s">
        <v>329</v>
      </c>
      <c r="Y84" s="146" t="s">
        <v>328</v>
      </c>
      <c r="Z84" s="146" t="s">
        <v>329</v>
      </c>
      <c r="AA84" s="146" t="s">
        <v>328</v>
      </c>
      <c r="AB84" s="146" t="s">
        <v>328</v>
      </c>
      <c r="AC84" s="160" t="s">
        <v>195</v>
      </c>
      <c r="AD84" s="142" t="s">
        <v>206</v>
      </c>
      <c r="AE84" s="142" t="s">
        <v>134</v>
      </c>
      <c r="AF84" s="144" t="str">
        <f t="shared" si="64"/>
        <v>ALTO</v>
      </c>
      <c r="AG84" s="146" t="s">
        <v>104</v>
      </c>
      <c r="AH84" s="144" t="str">
        <f t="shared" si="65"/>
        <v>ALTO</v>
      </c>
      <c r="AI84" s="142" t="s">
        <v>115</v>
      </c>
      <c r="AJ84" s="146" t="s">
        <v>118</v>
      </c>
      <c r="AK84" s="144" t="str">
        <f t="shared" si="66"/>
        <v>ALTO</v>
      </c>
      <c r="AL84" s="80" t="str">
        <f>VLOOKUP($AD84,[14]Tipologías!$B$3:$G$17,2,FALSE)</f>
        <v>ALTO</v>
      </c>
      <c r="AM84" s="80">
        <f t="shared" si="52"/>
        <v>3</v>
      </c>
      <c r="AN84" s="80" t="str">
        <f>VLOOKUP($AE84,[14]Tipologías!$A$21:$C$24,3,FALSE)</f>
        <v>ALTO</v>
      </c>
      <c r="AO84" s="80">
        <f t="shared" si="53"/>
        <v>3</v>
      </c>
      <c r="AP84" s="80">
        <f>VLOOKUP($AI84,[14]Tipologías!$A$38:$B$42,2,FALSE)</f>
        <v>2</v>
      </c>
      <c r="AQ84" s="80">
        <f>VLOOKUP($AJ84,[14]Tipologías!$A$46:$B$53,2,FALSE)</f>
        <v>2.25</v>
      </c>
      <c r="AR84" s="80" t="str">
        <f t="shared" si="67"/>
        <v>ALTO</v>
      </c>
      <c r="AS84" s="80" t="str">
        <f>VLOOKUP($AG84,[14]Tipologías!$A$29:$C$33,3,FALSE)</f>
        <v>ALTO</v>
      </c>
      <c r="AT84" s="80" t="str">
        <f t="shared" si="68"/>
        <v>ALTO</v>
      </c>
      <c r="AU84" s="80" t="str">
        <f t="shared" si="69"/>
        <v>ALTO</v>
      </c>
      <c r="AV84" s="80" t="str">
        <f>_xlfn.IFNA(VLOOKUP(AD84,[14]Tipologías!$B$3:$G$17,4,0),"")</f>
        <v>INFORMACIÓN PÚBLICA CLASIFICADA</v>
      </c>
      <c r="AW84" s="80" t="str">
        <f t="shared" si="70"/>
        <v>IPC</v>
      </c>
      <c r="AX84" s="80" t="str">
        <f>_xlfn.IFNA(VLOOKUP(AD84,[14]Tipologías!$B$3:$G$17,3,0),"")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84" s="80" t="str">
        <f>_xlfn.IFNA(VLOOKUP(AD84,[14]Tipologías!$B$3:$G$17,5,0),"")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84" s="80" t="str">
        <f>_xlfn.IFNA(VLOOKUP(AD84,[14]Tipologías!$B$3:$G$17,6,0),"")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84" s="148" t="s">
        <v>197</v>
      </c>
      <c r="BB84" s="166">
        <v>45133</v>
      </c>
      <c r="BC84" s="148" t="s">
        <v>201</v>
      </c>
      <c r="BD84" s="146" t="s">
        <v>662</v>
      </c>
      <c r="BE84" s="146" t="s">
        <v>625</v>
      </c>
      <c r="BF84" s="45"/>
      <c r="BG84" s="45"/>
      <c r="BH84" s="45"/>
      <c r="BI84" s="45"/>
      <c r="BJ84" s="45"/>
      <c r="BK84" s="45"/>
      <c r="BL84" s="45"/>
      <c r="BM84" s="45"/>
      <c r="BN84" s="45"/>
      <c r="BO84" s="45"/>
      <c r="BP84" s="45"/>
      <c r="BQ84" s="45"/>
      <c r="BR84" s="45"/>
      <c r="BS84" s="45"/>
      <c r="BT84" s="45"/>
      <c r="BU84" s="45"/>
      <c r="BV84" s="45"/>
      <c r="BW84" s="45"/>
      <c r="BX84" s="45"/>
    </row>
    <row r="85" spans="1:76" s="67" customFormat="1" ht="207.75" customHeight="1" x14ac:dyDescent="0.2">
      <c r="A85" s="76">
        <v>76</v>
      </c>
      <c r="B85" s="110" t="s">
        <v>59</v>
      </c>
      <c r="C85" s="110" t="s">
        <v>302</v>
      </c>
      <c r="D85" s="100" t="s">
        <v>78</v>
      </c>
      <c r="E85" s="100" t="s">
        <v>666</v>
      </c>
      <c r="F85" s="111" t="s">
        <v>667</v>
      </c>
      <c r="G85" s="110" t="s">
        <v>141</v>
      </c>
      <c r="H85" s="111" t="s">
        <v>620</v>
      </c>
      <c r="I85" s="111" t="s">
        <v>284</v>
      </c>
      <c r="J85" s="115" t="s">
        <v>336</v>
      </c>
      <c r="K85" s="100" t="s">
        <v>320</v>
      </c>
      <c r="L85" s="111" t="s">
        <v>362</v>
      </c>
      <c r="M85" s="100" t="s">
        <v>195</v>
      </c>
      <c r="N85" s="111" t="s">
        <v>668</v>
      </c>
      <c r="O85" s="100" t="s">
        <v>151</v>
      </c>
      <c r="P85" s="100" t="s">
        <v>195</v>
      </c>
      <c r="Q85" s="148" t="s">
        <v>325</v>
      </c>
      <c r="R85" s="148"/>
      <c r="S85" s="100" t="s">
        <v>195</v>
      </c>
      <c r="T85" s="100" t="s">
        <v>195</v>
      </c>
      <c r="U85" s="146" t="s">
        <v>328</v>
      </c>
      <c r="V85" s="146" t="s">
        <v>328</v>
      </c>
      <c r="W85" s="146" t="s">
        <v>329</v>
      </c>
      <c r="X85" s="146" t="s">
        <v>329</v>
      </c>
      <c r="Y85" s="146" t="s">
        <v>329</v>
      </c>
      <c r="Z85" s="146" t="s">
        <v>329</v>
      </c>
      <c r="AA85" s="146" t="s">
        <v>328</v>
      </c>
      <c r="AB85" s="146" t="s">
        <v>328</v>
      </c>
      <c r="AC85" s="160" t="s">
        <v>195</v>
      </c>
      <c r="AD85" s="142" t="s">
        <v>89</v>
      </c>
      <c r="AE85" s="142" t="s">
        <v>130</v>
      </c>
      <c r="AF85" s="144" t="str">
        <f t="shared" si="64"/>
        <v>BAJO</v>
      </c>
      <c r="AG85" s="146" t="s">
        <v>104</v>
      </c>
      <c r="AH85" s="144" t="str">
        <f t="shared" si="65"/>
        <v>ALTO</v>
      </c>
      <c r="AI85" s="142" t="s">
        <v>115</v>
      </c>
      <c r="AJ85" s="146" t="s">
        <v>118</v>
      </c>
      <c r="AK85" s="144" t="str">
        <f t="shared" si="66"/>
        <v>ALTO</v>
      </c>
      <c r="AL85" s="80" t="str">
        <f>VLOOKUP($AD85,[14]Tipologías!$B$3:$G$17,2,FALSE)</f>
        <v>BAJO</v>
      </c>
      <c r="AM85" s="80">
        <f t="shared" si="52"/>
        <v>1</v>
      </c>
      <c r="AN85" s="80" t="str">
        <f>VLOOKUP($AE85,[14]Tipologías!$A$21:$C$24,3,FALSE)</f>
        <v>BAJO</v>
      </c>
      <c r="AO85" s="80">
        <f t="shared" si="53"/>
        <v>1</v>
      </c>
      <c r="AP85" s="80">
        <f>VLOOKUP($AI85,[14]Tipologías!$A$38:$B$42,2,FALSE)</f>
        <v>2</v>
      </c>
      <c r="AQ85" s="80">
        <f>VLOOKUP($AJ85,[14]Tipologías!$A$46:$B$53,2,FALSE)</f>
        <v>2.25</v>
      </c>
      <c r="AR85" s="80" t="str">
        <f t="shared" si="67"/>
        <v>BAJO</v>
      </c>
      <c r="AS85" s="80" t="str">
        <f>VLOOKUP($AG85,[14]Tipologías!$A$29:$C$33,3,FALSE)</f>
        <v>ALTO</v>
      </c>
      <c r="AT85" s="80" t="str">
        <f t="shared" si="68"/>
        <v>ALTO</v>
      </c>
      <c r="AU85" s="80" t="str">
        <f t="shared" si="69"/>
        <v>ALTO</v>
      </c>
      <c r="AV85" s="80" t="str">
        <f>_xlfn.IFNA(VLOOKUP(AD85,[14]Tipologías!$B$3:$G$17,4,0),"")</f>
        <v>INFORMACIÓN PÚBLICA</v>
      </c>
      <c r="AW85" s="80" t="str">
        <f t="shared" si="70"/>
        <v>IPB</v>
      </c>
      <c r="AX85" s="80" t="str">
        <f>_xlfn.IFNA(VLOOKUP(AD85,[14]Tipologías!$B$3:$G$17,3,0),"")</f>
        <v>LEY 1712 DE 2014 LEY DE TRANSPARENCIA Y DERECHO DE ACCESO A LA INFORMACIÓN. ARTÍCULO 6 DEFINICIONES LITERAL B.</v>
      </c>
      <c r="AY85" s="80" t="str">
        <f>_xlfn.IFNA(VLOOKUP(AD85,[14]Tipologías!$B$3:$G$17,5,0),"")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85" s="80" t="str">
        <f>_xlfn.IFNA(VLOOKUP(AD85,[14]Tipologías!$B$3:$G$17,6,0),"")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85" s="148" t="s">
        <v>198</v>
      </c>
      <c r="BB85" s="166">
        <v>45133</v>
      </c>
      <c r="BC85" s="148" t="s">
        <v>195</v>
      </c>
      <c r="BD85" s="146" t="s">
        <v>662</v>
      </c>
      <c r="BE85" s="146" t="s">
        <v>625</v>
      </c>
      <c r="BF85" s="45"/>
      <c r="BG85" s="45"/>
      <c r="BH85" s="45"/>
      <c r="BI85" s="45"/>
      <c r="BJ85" s="45"/>
      <c r="BK85" s="45"/>
      <c r="BL85" s="45"/>
      <c r="BM85" s="45"/>
      <c r="BN85" s="45"/>
      <c r="BO85" s="45"/>
      <c r="BP85" s="45"/>
      <c r="BQ85" s="45"/>
      <c r="BR85" s="45"/>
      <c r="BS85" s="45"/>
      <c r="BT85" s="45"/>
      <c r="BU85" s="45"/>
      <c r="BV85" s="45"/>
      <c r="BW85" s="45"/>
      <c r="BX85" s="45"/>
    </row>
    <row r="86" spans="1:76" s="67" customFormat="1" ht="207.75" customHeight="1" x14ac:dyDescent="0.2">
      <c r="A86" s="76">
        <v>77</v>
      </c>
      <c r="B86" s="110" t="s">
        <v>59</v>
      </c>
      <c r="C86" s="110" t="s">
        <v>302</v>
      </c>
      <c r="D86" s="100" t="s">
        <v>78</v>
      </c>
      <c r="E86" s="100" t="s">
        <v>395</v>
      </c>
      <c r="F86" s="110" t="s">
        <v>574</v>
      </c>
      <c r="G86" s="110" t="s">
        <v>139</v>
      </c>
      <c r="H86" s="111" t="s">
        <v>620</v>
      </c>
      <c r="I86" s="111" t="s">
        <v>620</v>
      </c>
      <c r="J86" s="154" t="s">
        <v>397</v>
      </c>
      <c r="K86" s="155" t="s">
        <v>320</v>
      </c>
      <c r="L86" s="134" t="s">
        <v>321</v>
      </c>
      <c r="M86" s="111" t="s">
        <v>78</v>
      </c>
      <c r="N86" s="111" t="s">
        <v>195</v>
      </c>
      <c r="O86" s="157" t="s">
        <v>151</v>
      </c>
      <c r="P86" s="157" t="s">
        <v>195</v>
      </c>
      <c r="Q86" s="148" t="s">
        <v>325</v>
      </c>
      <c r="R86" s="148" t="s">
        <v>325</v>
      </c>
      <c r="S86" s="157" t="s">
        <v>195</v>
      </c>
      <c r="T86" s="157" t="s">
        <v>195</v>
      </c>
      <c r="U86" s="146" t="s">
        <v>328</v>
      </c>
      <c r="V86" s="146" t="s">
        <v>328</v>
      </c>
      <c r="W86" s="146" t="s">
        <v>328</v>
      </c>
      <c r="X86" s="146" t="s">
        <v>329</v>
      </c>
      <c r="Y86" s="146" t="s">
        <v>329</v>
      </c>
      <c r="Z86" s="146" t="s">
        <v>329</v>
      </c>
      <c r="AA86" s="146" t="s">
        <v>195</v>
      </c>
      <c r="AB86" s="146" t="s">
        <v>195</v>
      </c>
      <c r="AC86" s="157" t="s">
        <v>195</v>
      </c>
      <c r="AD86" s="142" t="s">
        <v>216</v>
      </c>
      <c r="AE86" s="142" t="s">
        <v>134</v>
      </c>
      <c r="AF86" s="144" t="str">
        <f t="shared" si="64"/>
        <v>ALTO</v>
      </c>
      <c r="AG86" s="146" t="s">
        <v>101</v>
      </c>
      <c r="AH86" s="144" t="str">
        <f t="shared" si="65"/>
        <v>BAJO</v>
      </c>
      <c r="AI86" s="149" t="s">
        <v>114</v>
      </c>
      <c r="AJ86" s="146" t="s">
        <v>121</v>
      </c>
      <c r="AK86" s="144" t="str">
        <f t="shared" si="66"/>
        <v>MEDIO</v>
      </c>
      <c r="AL86" s="80" t="str">
        <f>VLOOKUP($AD86,[14]Tipologías!$B$3:$G$17,2,FALSE)</f>
        <v>ALTO</v>
      </c>
      <c r="AM86" s="80">
        <f t="shared" si="52"/>
        <v>3</v>
      </c>
      <c r="AN86" s="80" t="str">
        <f>VLOOKUP($AE86,[14]Tipologías!$A$21:$C$24,3,FALSE)</f>
        <v>ALTO</v>
      </c>
      <c r="AO86" s="80">
        <f t="shared" si="53"/>
        <v>3</v>
      </c>
      <c r="AP86" s="80">
        <f>VLOOKUP($AI86,[14]Tipologías!$A$38:$B$42,2,FALSE)</f>
        <v>1.5</v>
      </c>
      <c r="AQ86" s="80">
        <f>VLOOKUP($AJ86,[14]Tipologías!$A$46:$B$53,2,FALSE)</f>
        <v>1.25</v>
      </c>
      <c r="AR86" s="80" t="str">
        <f t="shared" si="67"/>
        <v>ALTO</v>
      </c>
      <c r="AS86" s="80" t="str">
        <f>VLOOKUP($AG86,[14]Tipologías!$A$29:$C$33,3,FALSE)</f>
        <v>BAJO</v>
      </c>
      <c r="AT86" s="80" t="str">
        <f t="shared" si="68"/>
        <v>MEDIO</v>
      </c>
      <c r="AU86" s="80" t="str">
        <f t="shared" si="69"/>
        <v>MEDIO</v>
      </c>
      <c r="AV86" s="80" t="str">
        <f>_xlfn.IFNA(VLOOKUP(AD86,[14]Tipologías!$B$3:$G$17,4,0),"")</f>
        <v>INFORMACIÓN PÚBLICA RESERVADA</v>
      </c>
      <c r="AW86" s="80" t="str">
        <f t="shared" si="70"/>
        <v>IPR</v>
      </c>
      <c r="AX86" s="80" t="str">
        <f>_xlfn.IFNA(VLOOKUP(AD86,[14]Tipologías!$B$3:$G$17,3,0),"")</f>
        <v>LEY 1712   DE 2014 ARTÍCULO 19 LITERAL H "LA ESTABILIDAD MACROECONÓMICA Y FINANCIERA DEL PAÍS."</v>
      </c>
      <c r="AY86" s="80" t="str">
        <f>_xlfn.IFNA(VLOOKUP(AD86,[14]Tipologías!$B$3:$G$17,5,0),"")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86" s="80" t="str">
        <f>_xlfn.IFNA(VLOOKUP(AD86,[14]Tipologías!$B$3:$G$17,6,0),"")</f>
        <v xml:space="preserve">LEY 1712 DE 2014 ARTÍCULO 19  </v>
      </c>
      <c r="BA86" s="148" t="s">
        <v>196</v>
      </c>
      <c r="BB86" s="166">
        <v>45133</v>
      </c>
      <c r="BC86" s="148" t="s">
        <v>195</v>
      </c>
      <c r="BD86" s="146" t="s">
        <v>669</v>
      </c>
      <c r="BE86" s="146" t="s">
        <v>625</v>
      </c>
      <c r="BF86" s="45"/>
      <c r="BG86" s="45"/>
      <c r="BH86" s="45"/>
      <c r="BI86" s="45"/>
      <c r="BJ86" s="45"/>
      <c r="BK86" s="45"/>
      <c r="BL86" s="45"/>
      <c r="BM86" s="45"/>
      <c r="BN86" s="45"/>
      <c r="BO86" s="45"/>
      <c r="BP86" s="45"/>
      <c r="BQ86" s="45"/>
      <c r="BR86" s="45"/>
      <c r="BS86" s="45"/>
      <c r="BT86" s="45"/>
      <c r="BU86" s="45"/>
      <c r="BV86" s="45"/>
      <c r="BW86" s="45"/>
      <c r="BX86" s="45"/>
    </row>
    <row r="87" spans="1:76" s="67" customFormat="1" ht="207.75" customHeight="1" x14ac:dyDescent="0.2">
      <c r="A87" s="76">
        <v>78</v>
      </c>
      <c r="B87" s="110" t="s">
        <v>59</v>
      </c>
      <c r="C87" s="110" t="s">
        <v>302</v>
      </c>
      <c r="D87" s="100" t="s">
        <v>78</v>
      </c>
      <c r="E87" s="109" t="s">
        <v>670</v>
      </c>
      <c r="F87" s="110" t="s">
        <v>671</v>
      </c>
      <c r="G87" s="110" t="s">
        <v>141</v>
      </c>
      <c r="H87" s="140" t="s">
        <v>620</v>
      </c>
      <c r="I87" s="140" t="s">
        <v>580</v>
      </c>
      <c r="J87" s="115" t="s">
        <v>336</v>
      </c>
      <c r="K87" s="156" t="s">
        <v>320</v>
      </c>
      <c r="L87" s="139" t="s">
        <v>321</v>
      </c>
      <c r="M87" s="109" t="s">
        <v>195</v>
      </c>
      <c r="N87" s="140" t="s">
        <v>581</v>
      </c>
      <c r="O87" s="109" t="s">
        <v>151</v>
      </c>
      <c r="P87" s="109" t="s">
        <v>540</v>
      </c>
      <c r="Q87" s="150" t="s">
        <v>325</v>
      </c>
      <c r="R87" s="150" t="s">
        <v>325</v>
      </c>
      <c r="S87" s="109" t="s">
        <v>672</v>
      </c>
      <c r="T87" s="115" t="s">
        <v>673</v>
      </c>
      <c r="U87" s="115" t="s">
        <v>328</v>
      </c>
      <c r="V87" s="115" t="s">
        <v>328</v>
      </c>
      <c r="W87" s="115" t="s">
        <v>328</v>
      </c>
      <c r="X87" s="115" t="s">
        <v>329</v>
      </c>
      <c r="Y87" s="115" t="s">
        <v>329</v>
      </c>
      <c r="Z87" s="115" t="s">
        <v>329</v>
      </c>
      <c r="AA87" s="115" t="s">
        <v>195</v>
      </c>
      <c r="AB87" s="115" t="s">
        <v>195</v>
      </c>
      <c r="AC87" s="115" t="s">
        <v>195</v>
      </c>
      <c r="AD87" s="110" t="s">
        <v>89</v>
      </c>
      <c r="AE87" s="110" t="s">
        <v>134</v>
      </c>
      <c r="AF87" s="80" t="str">
        <f t="shared" si="64"/>
        <v>ALTO</v>
      </c>
      <c r="AG87" s="115" t="s">
        <v>104</v>
      </c>
      <c r="AH87" s="80" t="str">
        <f t="shared" si="65"/>
        <v>ALTO</v>
      </c>
      <c r="AI87" s="80" t="s">
        <v>113</v>
      </c>
      <c r="AJ87" s="115" t="s">
        <v>123</v>
      </c>
      <c r="AK87" s="80" t="str">
        <f t="shared" si="66"/>
        <v>BAJO</v>
      </c>
      <c r="AL87" s="80" t="str">
        <f>VLOOKUP($AD87,[14]Tipologías!$B$3:$G$17,2,FALSE)</f>
        <v>BAJO</v>
      </c>
      <c r="AM87" s="80">
        <f t="shared" si="52"/>
        <v>1</v>
      </c>
      <c r="AN87" s="80" t="str">
        <f>VLOOKUP($AE87,[14]Tipologías!$A$21:$C$24,3,FALSE)</f>
        <v>ALTO</v>
      </c>
      <c r="AO87" s="80">
        <f t="shared" si="53"/>
        <v>3</v>
      </c>
      <c r="AP87" s="80">
        <f>VLOOKUP($AI87,[14]Tipologías!$A$38:$B$42,2,FALSE)</f>
        <v>1</v>
      </c>
      <c r="AQ87" s="80">
        <f>VLOOKUP($AJ87,[14]Tipologías!$A$46:$B$53,2,FALSE)</f>
        <v>0.5</v>
      </c>
      <c r="AR87" s="80" t="str">
        <f t="shared" si="67"/>
        <v>ALTO</v>
      </c>
      <c r="AS87" s="80" t="str">
        <f>VLOOKUP($AG87,[14]Tipologías!$A$29:$C$33,3,FALSE)</f>
        <v>ALTO</v>
      </c>
      <c r="AT87" s="80" t="str">
        <f t="shared" si="68"/>
        <v>BAJO</v>
      </c>
      <c r="AU87" s="80" t="str">
        <f t="shared" si="69"/>
        <v>ALTO</v>
      </c>
      <c r="AV87" s="80" t="str">
        <f>_xlfn.IFNA(VLOOKUP(AD87,[14]Tipologías!$B$3:$G$17,4,0),"")</f>
        <v>INFORMACIÓN PÚBLICA</v>
      </c>
      <c r="AW87" s="80" t="str">
        <f t="shared" si="70"/>
        <v>IPB</v>
      </c>
      <c r="AX87" s="80" t="str">
        <f>_xlfn.IFNA(VLOOKUP(AD87,[14]Tipologías!$B$3:$G$17,3,0),"")</f>
        <v>LEY 1712 DE 2014 LEY DE TRANSPARENCIA Y DERECHO DE ACCESO A LA INFORMACIÓN. ARTÍCULO 6 DEFINICIONES LITERAL B.</v>
      </c>
      <c r="AY87" s="80" t="str">
        <f>_xlfn.IFNA(VLOOKUP(AD87,[14]Tipologías!$B$3:$G$17,5,0),"")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87" s="80" t="str">
        <f>_xlfn.IFNA(VLOOKUP(AD87,[14]Tipologías!$B$3:$G$17,6,0),"")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87" s="115" t="s">
        <v>197</v>
      </c>
      <c r="BB87" s="167">
        <v>45133</v>
      </c>
      <c r="BC87" s="150" t="s">
        <v>195</v>
      </c>
      <c r="BD87" s="115" t="s">
        <v>674</v>
      </c>
      <c r="BE87" s="115" t="s">
        <v>625</v>
      </c>
      <c r="BF87" s="45"/>
      <c r="BG87" s="45"/>
      <c r="BH87" s="45"/>
      <c r="BI87" s="45"/>
      <c r="BJ87" s="45"/>
      <c r="BK87" s="45"/>
      <c r="BL87" s="45"/>
      <c r="BM87" s="45"/>
      <c r="BN87" s="45"/>
      <c r="BO87" s="45"/>
      <c r="BP87" s="45"/>
      <c r="BQ87" s="45"/>
      <c r="BR87" s="45"/>
      <c r="BS87" s="45"/>
      <c r="BT87" s="45"/>
      <c r="BU87" s="45"/>
      <c r="BV87" s="45"/>
      <c r="BW87" s="45"/>
      <c r="BX87" s="45"/>
    </row>
    <row r="88" spans="1:76" s="67" customFormat="1" ht="207.75" customHeight="1" x14ac:dyDescent="0.2">
      <c r="A88" s="76">
        <v>79</v>
      </c>
      <c r="B88" s="110" t="s">
        <v>59</v>
      </c>
      <c r="C88" s="110" t="s">
        <v>302</v>
      </c>
      <c r="D88" s="100" t="s">
        <v>78</v>
      </c>
      <c r="E88" s="109" t="s">
        <v>675</v>
      </c>
      <c r="F88" s="110" t="s">
        <v>671</v>
      </c>
      <c r="G88" s="110" t="s">
        <v>205</v>
      </c>
      <c r="H88" s="140" t="s">
        <v>620</v>
      </c>
      <c r="I88" s="140" t="s">
        <v>580</v>
      </c>
      <c r="J88" s="115" t="s">
        <v>336</v>
      </c>
      <c r="K88" s="156" t="s">
        <v>320</v>
      </c>
      <c r="L88" s="139" t="s">
        <v>321</v>
      </c>
      <c r="M88" s="109" t="s">
        <v>195</v>
      </c>
      <c r="N88" s="140" t="s">
        <v>581</v>
      </c>
      <c r="O88" s="109" t="s">
        <v>151</v>
      </c>
      <c r="P88" s="109" t="s">
        <v>540</v>
      </c>
      <c r="Q88" s="150" t="s">
        <v>325</v>
      </c>
      <c r="R88" s="150" t="s">
        <v>325</v>
      </c>
      <c r="S88" s="109" t="s">
        <v>355</v>
      </c>
      <c r="T88" s="115" t="s">
        <v>676</v>
      </c>
      <c r="U88" s="115" t="s">
        <v>328</v>
      </c>
      <c r="V88" s="115" t="s">
        <v>328</v>
      </c>
      <c r="W88" s="115" t="s">
        <v>328</v>
      </c>
      <c r="X88" s="115" t="s">
        <v>329</v>
      </c>
      <c r="Y88" s="115" t="s">
        <v>329</v>
      </c>
      <c r="Z88" s="115" t="s">
        <v>329</v>
      </c>
      <c r="AA88" s="115" t="s">
        <v>195</v>
      </c>
      <c r="AB88" s="115" t="s">
        <v>195</v>
      </c>
      <c r="AC88" s="115" t="s">
        <v>195</v>
      </c>
      <c r="AD88" s="110" t="s">
        <v>89</v>
      </c>
      <c r="AE88" s="110" t="s">
        <v>134</v>
      </c>
      <c r="AF88" s="80" t="str">
        <f t="shared" si="64"/>
        <v>ALTO</v>
      </c>
      <c r="AG88" s="115" t="s">
        <v>104</v>
      </c>
      <c r="AH88" s="80" t="str">
        <f t="shared" si="65"/>
        <v>ALTO</v>
      </c>
      <c r="AI88" s="80" t="s">
        <v>113</v>
      </c>
      <c r="AJ88" s="115" t="s">
        <v>120</v>
      </c>
      <c r="AK88" s="80" t="str">
        <f t="shared" si="66"/>
        <v>MEDIO</v>
      </c>
      <c r="AL88" s="80" t="str">
        <f>VLOOKUP($AD88,[14]Tipologías!$B$3:$G$17,2,FALSE)</f>
        <v>BAJO</v>
      </c>
      <c r="AM88" s="80">
        <f t="shared" si="52"/>
        <v>1</v>
      </c>
      <c r="AN88" s="80" t="str">
        <f>VLOOKUP($AE88,[14]Tipologías!$A$21:$C$24,3,FALSE)</f>
        <v>ALTO</v>
      </c>
      <c r="AO88" s="80">
        <f t="shared" si="53"/>
        <v>3</v>
      </c>
      <c r="AP88" s="80">
        <f>VLOOKUP($AI88,[14]Tipologías!$A$38:$B$42,2,FALSE)</f>
        <v>1</v>
      </c>
      <c r="AQ88" s="80">
        <f>VLOOKUP($AJ88,[14]Tipologías!$A$46:$B$53,2,FALSE)</f>
        <v>1.5</v>
      </c>
      <c r="AR88" s="80" t="str">
        <f t="shared" si="67"/>
        <v>ALTO</v>
      </c>
      <c r="AS88" s="80" t="str">
        <f>VLOOKUP($AG88,[14]Tipologías!$A$29:$C$33,3,FALSE)</f>
        <v>ALTO</v>
      </c>
      <c r="AT88" s="80" t="str">
        <f t="shared" si="68"/>
        <v>MEDIO</v>
      </c>
      <c r="AU88" s="80" t="str">
        <f t="shared" si="69"/>
        <v>ALTO</v>
      </c>
      <c r="AV88" s="80" t="str">
        <f>_xlfn.IFNA(VLOOKUP(AD88,[14]Tipologías!$B$3:$G$17,4,0),"")</f>
        <v>INFORMACIÓN PÚBLICA</v>
      </c>
      <c r="AW88" s="80" t="str">
        <f t="shared" si="70"/>
        <v>IPB</v>
      </c>
      <c r="AX88" s="80" t="str">
        <f>_xlfn.IFNA(VLOOKUP(AD88,[14]Tipologías!$B$3:$G$17,3,0),"")</f>
        <v>LEY 1712 DE 2014 LEY DE TRANSPARENCIA Y DERECHO DE ACCESO A LA INFORMACIÓN. ARTÍCULO 6 DEFINICIONES LITERAL B.</v>
      </c>
      <c r="AY88" s="80" t="str">
        <f>_xlfn.IFNA(VLOOKUP(AD88,[14]Tipologías!$B$3:$G$17,5,0),"")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88" s="80" t="str">
        <f>_xlfn.IFNA(VLOOKUP(AD88,[14]Tipologías!$B$3:$G$17,6,0),"")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88" s="115" t="s">
        <v>197</v>
      </c>
      <c r="BB88" s="167">
        <v>45133</v>
      </c>
      <c r="BC88" s="150" t="s">
        <v>195</v>
      </c>
      <c r="BD88" s="115" t="s">
        <v>677</v>
      </c>
      <c r="BE88" s="115" t="s">
        <v>625</v>
      </c>
      <c r="BF88" s="45"/>
      <c r="BG88" s="45"/>
      <c r="BH88" s="45"/>
      <c r="BI88" s="45"/>
      <c r="BJ88" s="45"/>
      <c r="BK88" s="45"/>
      <c r="BL88" s="45"/>
      <c r="BM88" s="45"/>
      <c r="BN88" s="45"/>
      <c r="BO88" s="45"/>
      <c r="BP88" s="45"/>
      <c r="BQ88" s="45"/>
      <c r="BR88" s="45"/>
      <c r="BS88" s="45"/>
      <c r="BT88" s="45"/>
      <c r="BU88" s="45"/>
      <c r="BV88" s="45"/>
      <c r="BW88" s="45"/>
      <c r="BX88" s="45"/>
    </row>
    <row r="89" spans="1:76" s="179" customFormat="1" ht="207.75" customHeight="1" x14ac:dyDescent="0.2">
      <c r="A89" s="76">
        <v>80</v>
      </c>
      <c r="B89" s="110" t="s">
        <v>62</v>
      </c>
      <c r="C89" s="110" t="s">
        <v>310</v>
      </c>
      <c r="D89" s="210" t="s">
        <v>285</v>
      </c>
      <c r="E89" s="210" t="s">
        <v>355</v>
      </c>
      <c r="F89" s="174" t="s">
        <v>678</v>
      </c>
      <c r="G89" s="110" t="s">
        <v>205</v>
      </c>
      <c r="H89" s="174" t="s">
        <v>285</v>
      </c>
      <c r="I89" s="174" t="s">
        <v>679</v>
      </c>
      <c r="J89" s="115" t="s">
        <v>336</v>
      </c>
      <c r="K89" s="210" t="s">
        <v>320</v>
      </c>
      <c r="L89" s="174" t="s">
        <v>321</v>
      </c>
      <c r="M89" s="175" t="s">
        <v>680</v>
      </c>
      <c r="N89" s="174" t="s">
        <v>681</v>
      </c>
      <c r="O89" s="175" t="s">
        <v>151</v>
      </c>
      <c r="P89" s="210" t="s">
        <v>682</v>
      </c>
      <c r="Q89" s="171" t="s">
        <v>325</v>
      </c>
      <c r="R89" s="171" t="s">
        <v>325</v>
      </c>
      <c r="S89" s="210" t="s">
        <v>355</v>
      </c>
      <c r="T89" s="210" t="s">
        <v>683</v>
      </c>
      <c r="U89" s="173" t="s">
        <v>328</v>
      </c>
      <c r="V89" s="173" t="s">
        <v>328</v>
      </c>
      <c r="W89" s="173" t="s">
        <v>328</v>
      </c>
      <c r="X89" s="173" t="s">
        <v>328</v>
      </c>
      <c r="Y89" s="173" t="s">
        <v>328</v>
      </c>
      <c r="Z89" s="173" t="s">
        <v>328</v>
      </c>
      <c r="AA89" s="173" t="s">
        <v>195</v>
      </c>
      <c r="AB89" s="173" t="s">
        <v>195</v>
      </c>
      <c r="AC89" s="176" t="s">
        <v>680</v>
      </c>
      <c r="AD89" s="177" t="s">
        <v>218</v>
      </c>
      <c r="AE89" s="177" t="s">
        <v>134</v>
      </c>
      <c r="AF89" s="178" t="s">
        <v>103</v>
      </c>
      <c r="AG89" s="173" t="s">
        <v>102</v>
      </c>
      <c r="AH89" s="178" t="str">
        <f t="shared" ref="AH89:AH94" si="71">_xlfn.IFNA((AS89),"")</f>
        <v>MEDIO</v>
      </c>
      <c r="AI89" s="177" t="s">
        <v>113</v>
      </c>
      <c r="AJ89" s="173" t="s">
        <v>123</v>
      </c>
      <c r="AK89" s="178" t="str">
        <f t="shared" ref="AK89:AK94" si="72">_xlfn.IFNA((AT89),"")</f>
        <v>BAJO</v>
      </c>
      <c r="AL89" s="80" t="str">
        <f>VLOOKUP($AD89,[15]Tipologías!$B$3:$G$17,2,0)</f>
        <v>ALTO</v>
      </c>
      <c r="AM89" s="80">
        <f t="shared" si="52"/>
        <v>3</v>
      </c>
      <c r="AN89" s="80" t="str">
        <f>VLOOKUP($AE89,[15]Tipologías!$A$21:$C$24,3,0)</f>
        <v>ALTO</v>
      </c>
      <c r="AO89" s="80">
        <f t="shared" si="53"/>
        <v>3</v>
      </c>
      <c r="AP89" s="80">
        <f>VLOOKUP($AI89,[15]Tipologías!$A$38:$B$42,2,0)</f>
        <v>1</v>
      </c>
      <c r="AQ89" s="80">
        <f>VLOOKUP($AJ89,[15]Tipologías!$A$46:$B$53,2,0)</f>
        <v>0.5</v>
      </c>
      <c r="AR89" s="80" t="str">
        <f t="shared" si="67"/>
        <v>ALTO</v>
      </c>
      <c r="AS89" s="80" t="str">
        <f>VLOOKUP($AG89,[15]Tipologías!$A$29:$C$33,3,0)</f>
        <v>MEDIO</v>
      </c>
      <c r="AT89" s="80" t="str">
        <f t="shared" si="68"/>
        <v>BAJO</v>
      </c>
      <c r="AU89" s="80" t="str">
        <f t="shared" si="69"/>
        <v>MEDIO</v>
      </c>
      <c r="AV89" s="80" t="str">
        <f>_xlfn.IFNA(VLOOKUP(AD89,[15]Tipologías!$B$3:$G$17,4,0),"")</f>
        <v>INFORMACIÓN PÚBLICA RESERVADA</v>
      </c>
      <c r="AW89" s="80" t="str">
        <f t="shared" si="70"/>
        <v>IPR</v>
      </c>
      <c r="AX89" s="80" t="str">
        <f>_xlfn.IFNA(VLOOKUP(AD89,[15]Tipologías!$B$3:$G$17,3,0),"")</f>
        <v>LEY 1712 DE 2014  ARTÍCULO 19 PARÁGRAFO "SE EXCEPTÚAN TAMBIÉN LOS DOCUMENTOS QUE CONTENGAN LAS OPINIONES O PUNTOS DE VISTA QUE FORMEN PARTE DEL PROCESO DELIBERATIVO DE LOS SERVIDORES PÚBLICOS."</v>
      </c>
      <c r="AY89" s="80" t="str">
        <f>_xlfn.IFNA(VLOOKUP(AD89,[15]Tipologías!$B$3:$G$17,5,0),"")</f>
        <v>LEY 1712 DE 2014 ARTÍCULO 19 PARÁGRAFO: SE EXCEPTÚAN TAMBIÉN LOS DOCUMENTOS QUE CONTENGAN LAS OPINIONES O PUNTOS DE VISTA QUE FORMEN PARTE DEL PROCESO DELIBERATIVO DE LOS SERVIDORES PÚBLICOS</v>
      </c>
      <c r="AZ89" s="80" t="str">
        <f>_xlfn.IFNA(VLOOKUP(AD89,[15]Tipologías!$B$3:$G$17,6,0),"")</f>
        <v xml:space="preserve">LEY 1712 DE 2014 ARTÍCULO 19  </v>
      </c>
      <c r="BA89" s="171" t="s">
        <v>197</v>
      </c>
      <c r="BB89" s="172">
        <v>45161</v>
      </c>
      <c r="BC89" s="171" t="s">
        <v>201</v>
      </c>
      <c r="BD89" s="173" t="s">
        <v>684</v>
      </c>
      <c r="BE89" s="173" t="s">
        <v>685</v>
      </c>
      <c r="BF89" s="161"/>
      <c r="BG89" s="161"/>
      <c r="BH89" s="161"/>
      <c r="BI89" s="161"/>
      <c r="BJ89" s="161"/>
      <c r="BK89" s="161"/>
      <c r="BL89" s="161"/>
      <c r="BM89" s="161"/>
      <c r="BN89" s="161"/>
      <c r="BO89" s="161"/>
      <c r="BP89" s="161"/>
      <c r="BQ89" s="161"/>
      <c r="BR89" s="161"/>
      <c r="BS89" s="161"/>
      <c r="BT89" s="161"/>
      <c r="BU89" s="161"/>
      <c r="BV89" s="161"/>
      <c r="BW89" s="161"/>
      <c r="BX89" s="161"/>
    </row>
    <row r="90" spans="1:76" s="179" customFormat="1" ht="207.75" customHeight="1" x14ac:dyDescent="0.2">
      <c r="A90" s="76">
        <v>81</v>
      </c>
      <c r="B90" s="110" t="s">
        <v>62</v>
      </c>
      <c r="C90" s="110" t="s">
        <v>310</v>
      </c>
      <c r="D90" s="210" t="s">
        <v>285</v>
      </c>
      <c r="E90" s="210" t="s">
        <v>355</v>
      </c>
      <c r="F90" s="174" t="s">
        <v>686</v>
      </c>
      <c r="G90" s="110" t="s">
        <v>205</v>
      </c>
      <c r="H90" s="174" t="s">
        <v>285</v>
      </c>
      <c r="I90" s="174" t="s">
        <v>679</v>
      </c>
      <c r="J90" s="115" t="s">
        <v>336</v>
      </c>
      <c r="K90" s="210" t="s">
        <v>320</v>
      </c>
      <c r="L90" s="174" t="s">
        <v>362</v>
      </c>
      <c r="M90" s="175" t="s">
        <v>680</v>
      </c>
      <c r="N90" s="174" t="s">
        <v>687</v>
      </c>
      <c r="O90" s="175" t="s">
        <v>151</v>
      </c>
      <c r="P90" s="210" t="s">
        <v>682</v>
      </c>
      <c r="Q90" s="171" t="s">
        <v>325</v>
      </c>
      <c r="R90" s="171" t="s">
        <v>325</v>
      </c>
      <c r="S90" s="210" t="s">
        <v>355</v>
      </c>
      <c r="T90" s="210" t="s">
        <v>688</v>
      </c>
      <c r="U90" s="173" t="s">
        <v>328</v>
      </c>
      <c r="V90" s="173" t="s">
        <v>328</v>
      </c>
      <c r="W90" s="173" t="s">
        <v>329</v>
      </c>
      <c r="X90" s="173" t="s">
        <v>329</v>
      </c>
      <c r="Y90" s="173" t="s">
        <v>329</v>
      </c>
      <c r="Z90" s="173" t="s">
        <v>329</v>
      </c>
      <c r="AA90" s="173" t="s">
        <v>195</v>
      </c>
      <c r="AB90" s="173" t="s">
        <v>328</v>
      </c>
      <c r="AC90" s="176" t="s">
        <v>680</v>
      </c>
      <c r="AD90" s="177" t="s">
        <v>89</v>
      </c>
      <c r="AE90" s="177" t="s">
        <v>130</v>
      </c>
      <c r="AF90" s="178" t="s">
        <v>90</v>
      </c>
      <c r="AG90" s="173" t="s">
        <v>100</v>
      </c>
      <c r="AH90" s="178" t="str">
        <f t="shared" si="71"/>
        <v>BAJO</v>
      </c>
      <c r="AI90" s="177" t="s">
        <v>109</v>
      </c>
      <c r="AJ90" s="173" t="s">
        <v>124</v>
      </c>
      <c r="AK90" s="178" t="str">
        <f t="shared" si="72"/>
        <v>BAJO</v>
      </c>
      <c r="AL90" s="80" t="str">
        <f>VLOOKUP($AD90,[15]Tipologías!$B$3:$G$17,2,0)</f>
        <v>BAJO</v>
      </c>
      <c r="AM90" s="80">
        <f t="shared" si="52"/>
        <v>1</v>
      </c>
      <c r="AN90" s="80" t="str">
        <f>VLOOKUP($AE90,[15]Tipologías!$A$21:$C$24,3,0)</f>
        <v>BAJO</v>
      </c>
      <c r="AO90" s="80">
        <f t="shared" si="53"/>
        <v>1</v>
      </c>
      <c r="AP90" s="80">
        <f>VLOOKUP($AI90,[15]Tipologías!$A$38:$B$42,2,0)</f>
        <v>0</v>
      </c>
      <c r="AQ90" s="80">
        <f>VLOOKUP($AJ90,[15]Tipologías!$A$46:$B$53,2,0)</f>
        <v>0.25</v>
      </c>
      <c r="AR90" s="80" t="str">
        <f t="shared" si="67"/>
        <v>BAJO</v>
      </c>
      <c r="AS90" s="80" t="str">
        <f>VLOOKUP($AG90,[15]Tipologías!$A$29:$C$33,3,0)</f>
        <v>BAJO</v>
      </c>
      <c r="AT90" s="80" t="str">
        <f t="shared" si="68"/>
        <v>BAJO</v>
      </c>
      <c r="AU90" s="80" t="str">
        <f t="shared" si="69"/>
        <v>BAJO</v>
      </c>
      <c r="AV90" s="80" t="str">
        <f>_xlfn.IFNA(VLOOKUP(AD90,[15]Tipologías!$B$3:$G$17,4,0),"")</f>
        <v>INFORMACIÓN PÚBLICA</v>
      </c>
      <c r="AW90" s="80" t="str">
        <f t="shared" si="70"/>
        <v>IPB</v>
      </c>
      <c r="AX90" s="80" t="str">
        <f>_xlfn.IFNA(VLOOKUP(AD90,[15]Tipologías!$B$3:$G$17,3,0),"")</f>
        <v>LEY 1712 DE 2014 LEY DE TRANSPARENCIA Y DERECHO DE ACCESO A LA INFORMACIÓN. ARTÍCULO 6 DEFINICIONES LITERAL B.</v>
      </c>
      <c r="AY90" s="80" t="str">
        <f>_xlfn.IFNA(VLOOKUP(AD90,[15]Tipologías!$B$3:$G$17,5,0),"")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90" s="80" t="str">
        <f>_xlfn.IFNA(VLOOKUP(AD90,[15]Tipologías!$B$3:$G$17,6,0),"")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90" s="171" t="s">
        <v>195</v>
      </c>
      <c r="BB90" s="172">
        <v>45161</v>
      </c>
      <c r="BC90" s="171" t="s">
        <v>195</v>
      </c>
      <c r="BD90" s="173" t="s">
        <v>689</v>
      </c>
      <c r="BE90" s="173" t="s">
        <v>685</v>
      </c>
      <c r="BF90" s="161"/>
      <c r="BG90" s="161"/>
      <c r="BH90" s="161"/>
      <c r="BI90" s="161"/>
      <c r="BJ90" s="161"/>
      <c r="BK90" s="161"/>
      <c r="BL90" s="161"/>
      <c r="BM90" s="161"/>
      <c r="BN90" s="161"/>
      <c r="BO90" s="161"/>
      <c r="BP90" s="161"/>
      <c r="BQ90" s="161"/>
      <c r="BR90" s="161"/>
      <c r="BS90" s="161"/>
      <c r="BT90" s="161"/>
      <c r="BU90" s="161"/>
      <c r="BV90" s="161"/>
      <c r="BW90" s="161"/>
      <c r="BX90" s="161"/>
    </row>
    <row r="91" spans="1:76" s="179" customFormat="1" ht="207.75" customHeight="1" x14ac:dyDescent="0.2">
      <c r="A91" s="76">
        <v>82</v>
      </c>
      <c r="B91" s="110" t="s">
        <v>62</v>
      </c>
      <c r="C91" s="110" t="s">
        <v>310</v>
      </c>
      <c r="D91" s="210" t="s">
        <v>285</v>
      </c>
      <c r="E91" s="210" t="s">
        <v>690</v>
      </c>
      <c r="F91" s="174" t="s">
        <v>691</v>
      </c>
      <c r="G91" s="110" t="s">
        <v>205</v>
      </c>
      <c r="H91" s="174" t="s">
        <v>285</v>
      </c>
      <c r="I91" s="174" t="s">
        <v>679</v>
      </c>
      <c r="J91" s="115" t="s">
        <v>336</v>
      </c>
      <c r="K91" s="210" t="s">
        <v>320</v>
      </c>
      <c r="L91" s="174" t="s">
        <v>321</v>
      </c>
      <c r="M91" s="175" t="s">
        <v>692</v>
      </c>
      <c r="N91" s="174" t="s">
        <v>681</v>
      </c>
      <c r="O91" s="175" t="s">
        <v>151</v>
      </c>
      <c r="P91" s="210" t="s">
        <v>682</v>
      </c>
      <c r="Q91" s="171" t="s">
        <v>325</v>
      </c>
      <c r="R91" s="171" t="s">
        <v>325</v>
      </c>
      <c r="S91" s="210" t="s">
        <v>693</v>
      </c>
      <c r="T91" s="210" t="s">
        <v>694</v>
      </c>
      <c r="U91" s="173" t="s">
        <v>328</v>
      </c>
      <c r="V91" s="173" t="s">
        <v>328</v>
      </c>
      <c r="W91" s="173" t="s">
        <v>329</v>
      </c>
      <c r="X91" s="173" t="s">
        <v>329</v>
      </c>
      <c r="Y91" s="173" t="s">
        <v>329</v>
      </c>
      <c r="Z91" s="173" t="s">
        <v>329</v>
      </c>
      <c r="AA91" s="173" t="s">
        <v>195</v>
      </c>
      <c r="AB91" s="173" t="s">
        <v>328</v>
      </c>
      <c r="AC91" s="176" t="s">
        <v>680</v>
      </c>
      <c r="AD91" s="177" t="s">
        <v>89</v>
      </c>
      <c r="AE91" s="177" t="s">
        <v>130</v>
      </c>
      <c r="AF91" s="178" t="s">
        <v>90</v>
      </c>
      <c r="AG91" s="173" t="s">
        <v>101</v>
      </c>
      <c r="AH91" s="178" t="str">
        <f t="shared" si="71"/>
        <v>BAJO</v>
      </c>
      <c r="AI91" s="177" t="s">
        <v>115</v>
      </c>
      <c r="AJ91" s="173" t="s">
        <v>121</v>
      </c>
      <c r="AK91" s="178" t="str">
        <f t="shared" si="72"/>
        <v>ALTO</v>
      </c>
      <c r="AL91" s="80" t="str">
        <f>VLOOKUP($AD91,[15]Tipologías!$B$3:$G$17,2,0)</f>
        <v>BAJO</v>
      </c>
      <c r="AM91" s="80">
        <f t="shared" si="52"/>
        <v>1</v>
      </c>
      <c r="AN91" s="80" t="str">
        <f>VLOOKUP($AE91,[15]Tipologías!$A$21:$C$24,3,0)</f>
        <v>BAJO</v>
      </c>
      <c r="AO91" s="80">
        <f t="shared" si="53"/>
        <v>1</v>
      </c>
      <c r="AP91" s="80">
        <f>VLOOKUP($AI91,[15]Tipologías!$A$38:$B$42,2,0)</f>
        <v>2</v>
      </c>
      <c r="AQ91" s="80">
        <f>VLOOKUP($AJ91,[15]Tipologías!$A$46:$B$53,2,0)</f>
        <v>1.25</v>
      </c>
      <c r="AR91" s="80" t="str">
        <f t="shared" si="67"/>
        <v>BAJO</v>
      </c>
      <c r="AS91" s="80" t="str">
        <f>VLOOKUP($AG91,[15]Tipologías!$A$29:$C$33,3,0)</f>
        <v>BAJO</v>
      </c>
      <c r="AT91" s="80" t="str">
        <f t="shared" si="68"/>
        <v>ALTO</v>
      </c>
      <c r="AU91" s="80" t="str">
        <f t="shared" si="69"/>
        <v>MEDIO</v>
      </c>
      <c r="AV91" s="80" t="str">
        <f>_xlfn.IFNA(VLOOKUP(AD91,[15]Tipologías!$B$3:$G$17,4,0),"")</f>
        <v>INFORMACIÓN PÚBLICA</v>
      </c>
      <c r="AW91" s="80" t="str">
        <f t="shared" si="70"/>
        <v>IPB</v>
      </c>
      <c r="AX91" s="80" t="str">
        <f>_xlfn.IFNA(VLOOKUP(AD91,[15]Tipologías!$B$3:$G$17,3,0),"")</f>
        <v>LEY 1712 DE 2014 LEY DE TRANSPARENCIA Y DERECHO DE ACCESO A LA INFORMACIÓN. ARTÍCULO 6 DEFINICIONES LITERAL B.</v>
      </c>
      <c r="AY91" s="80" t="str">
        <f>_xlfn.IFNA(VLOOKUP(AD91,[15]Tipologías!$B$3:$G$17,5,0),"")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91" s="80" t="str">
        <f>_xlfn.IFNA(VLOOKUP(AD91,[15]Tipologías!$B$3:$G$17,6,0),"")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91" s="171" t="s">
        <v>195</v>
      </c>
      <c r="BB91" s="172">
        <v>45161</v>
      </c>
      <c r="BC91" s="171" t="s">
        <v>195</v>
      </c>
      <c r="BD91" s="173" t="s">
        <v>689</v>
      </c>
      <c r="BE91" s="173" t="s">
        <v>685</v>
      </c>
      <c r="BF91" s="161"/>
      <c r="BG91" s="161"/>
      <c r="BH91" s="161"/>
      <c r="BI91" s="161"/>
      <c r="BJ91" s="161"/>
      <c r="BK91" s="161"/>
      <c r="BL91" s="161"/>
      <c r="BM91" s="161"/>
      <c r="BN91" s="161"/>
      <c r="BO91" s="161"/>
      <c r="BP91" s="161"/>
      <c r="BQ91" s="161"/>
      <c r="BR91" s="161"/>
      <c r="BS91" s="161"/>
      <c r="BT91" s="161"/>
      <c r="BU91" s="161"/>
      <c r="BV91" s="161"/>
      <c r="BW91" s="161"/>
      <c r="BX91" s="161"/>
    </row>
    <row r="92" spans="1:76" s="179" customFormat="1" ht="207.75" customHeight="1" x14ac:dyDescent="0.2">
      <c r="A92" s="76">
        <v>83</v>
      </c>
      <c r="B92" s="110" t="s">
        <v>62</v>
      </c>
      <c r="C92" s="110" t="s">
        <v>310</v>
      </c>
      <c r="D92" s="210" t="s">
        <v>285</v>
      </c>
      <c r="E92" s="210" t="s">
        <v>695</v>
      </c>
      <c r="F92" s="174" t="s">
        <v>696</v>
      </c>
      <c r="G92" s="110" t="s">
        <v>205</v>
      </c>
      <c r="H92" s="174" t="s">
        <v>285</v>
      </c>
      <c r="I92" s="174" t="s">
        <v>679</v>
      </c>
      <c r="J92" s="115" t="s">
        <v>336</v>
      </c>
      <c r="K92" s="210" t="s">
        <v>320</v>
      </c>
      <c r="L92" s="174" t="s">
        <v>321</v>
      </c>
      <c r="M92" s="175" t="s">
        <v>680</v>
      </c>
      <c r="N92" s="174" t="s">
        <v>681</v>
      </c>
      <c r="O92" s="175" t="s">
        <v>151</v>
      </c>
      <c r="P92" s="210" t="s">
        <v>682</v>
      </c>
      <c r="Q92" s="171" t="s">
        <v>325</v>
      </c>
      <c r="R92" s="171" t="s">
        <v>325</v>
      </c>
      <c r="S92" s="210" t="s">
        <v>697</v>
      </c>
      <c r="T92" s="173" t="s">
        <v>698</v>
      </c>
      <c r="U92" s="173" t="s">
        <v>328</v>
      </c>
      <c r="V92" s="173" t="s">
        <v>328</v>
      </c>
      <c r="W92" s="173" t="s">
        <v>328</v>
      </c>
      <c r="X92" s="173" t="s">
        <v>328</v>
      </c>
      <c r="Y92" s="173" t="s">
        <v>328</v>
      </c>
      <c r="Z92" s="173" t="s">
        <v>328</v>
      </c>
      <c r="AA92" s="173" t="s">
        <v>195</v>
      </c>
      <c r="AB92" s="173" t="s">
        <v>195</v>
      </c>
      <c r="AC92" s="176" t="s">
        <v>680</v>
      </c>
      <c r="AD92" s="177" t="s">
        <v>213</v>
      </c>
      <c r="AE92" s="177" t="s">
        <v>134</v>
      </c>
      <c r="AF92" s="178" t="s">
        <v>103</v>
      </c>
      <c r="AG92" s="173" t="s">
        <v>102</v>
      </c>
      <c r="AH92" s="178" t="str">
        <f t="shared" si="71"/>
        <v>MEDIO</v>
      </c>
      <c r="AI92" s="177" t="s">
        <v>113</v>
      </c>
      <c r="AJ92" s="173" t="s">
        <v>123</v>
      </c>
      <c r="AK92" s="178" t="str">
        <f t="shared" si="72"/>
        <v>BAJO</v>
      </c>
      <c r="AL92" s="80" t="str">
        <f>VLOOKUP($AD92,[15]Tipologías!$B$3:$G$17,2,0)</f>
        <v>ALTO</v>
      </c>
      <c r="AM92" s="80">
        <f t="shared" si="52"/>
        <v>3</v>
      </c>
      <c r="AN92" s="80" t="str">
        <f>VLOOKUP($AE92,[15]Tipologías!$A$21:$C$24,3,0)</f>
        <v>ALTO</v>
      </c>
      <c r="AO92" s="80">
        <f t="shared" si="53"/>
        <v>3</v>
      </c>
      <c r="AP92" s="80">
        <f>VLOOKUP($AI92,[15]Tipologías!$A$38:$B$42,2,0)</f>
        <v>1</v>
      </c>
      <c r="AQ92" s="80">
        <f>VLOOKUP($AJ92,[15]Tipologías!$A$46:$B$53,2,0)</f>
        <v>0.5</v>
      </c>
      <c r="AR92" s="80" t="str">
        <f t="shared" si="67"/>
        <v>ALTO</v>
      </c>
      <c r="AS92" s="80" t="str">
        <f>VLOOKUP($AG92,[15]Tipologías!$A$29:$C$33,3,0)</f>
        <v>MEDIO</v>
      </c>
      <c r="AT92" s="80" t="str">
        <f t="shared" si="68"/>
        <v>BAJO</v>
      </c>
      <c r="AU92" s="80" t="str">
        <f t="shared" si="69"/>
        <v>MEDIO</v>
      </c>
      <c r="AV92" s="80" t="str">
        <f>_xlfn.IFNA(VLOOKUP(AD92,[15]Tipologías!$B$3:$G$17,4,0),"")</f>
        <v>INFORMACIÓN PÚBLICA RESERVADA</v>
      </c>
      <c r="AW92" s="80" t="str">
        <f t="shared" si="70"/>
        <v>IPR</v>
      </c>
      <c r="AX92" s="80" t="str">
        <f>_xlfn.IFNA(VLOOKUP(AD92,[15]Tipologías!$B$3:$G$17,3,0),"")</f>
        <v>LEY 1712   DE 2014 ARTÍCULO 19 LITERAL E "EL DEBIDO PROCESO Y LA IGUALDAD DE LAS PARTES EN LOS PROCESOS JUDICIALES."</v>
      </c>
      <c r="AY92" s="80" t="str">
        <f>_xlfn.IFNA(VLOOKUP(AD92,[15]Tipologías!$B$3:$G$17,5,0),"")</f>
        <v>CONSTITUCIÓN POLÍTICA DE COLOMBIA ARTÍCULO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LEY 1564  DE 2012 CÓDIGO GENERAL DEL PROCESO ARTÍCULO 3: LAS ACTUACIONES SE CUMPLIRÁN EN FORMA ORAL, PÚBLICA Y EN AUDIENCIAS, SALVO LAS QUE EXPRESAMENTE SE AUTORICE REALIZAR POR ESCRITO O ESTÉN AMPARADAS POR RESERVA.</v>
      </c>
      <c r="AZ92" s="80" t="str">
        <f>_xlfn.IFNA(VLOOKUP(AD92,[15]Tipologías!$B$3:$G$17,6,0),"")</f>
        <v>LEY 1712 DE 2014 ARTÍCULO 19   
LEY 1564  DE 2012 CÓDIGO GENERAL DEL PROCESO</v>
      </c>
      <c r="BA92" s="171" t="s">
        <v>197</v>
      </c>
      <c r="BB92" s="172">
        <v>45161</v>
      </c>
      <c r="BC92" s="171" t="s">
        <v>201</v>
      </c>
      <c r="BD92" s="173" t="s">
        <v>699</v>
      </c>
      <c r="BE92" s="173" t="s">
        <v>685</v>
      </c>
      <c r="BF92" s="161"/>
      <c r="BG92" s="161"/>
      <c r="BH92" s="161"/>
      <c r="BI92" s="161"/>
      <c r="BJ92" s="161"/>
      <c r="BK92" s="161"/>
      <c r="BL92" s="161"/>
      <c r="BM92" s="161"/>
      <c r="BN92" s="161"/>
      <c r="BO92" s="161"/>
      <c r="BP92" s="161"/>
      <c r="BQ92" s="161"/>
      <c r="BR92" s="161"/>
      <c r="BS92" s="161"/>
      <c r="BT92" s="161"/>
      <c r="BU92" s="161"/>
      <c r="BV92" s="161"/>
      <c r="BW92" s="161"/>
      <c r="BX92" s="161"/>
    </row>
    <row r="93" spans="1:76" s="179" customFormat="1" ht="207.75" customHeight="1" x14ac:dyDescent="0.2">
      <c r="A93" s="76">
        <v>84</v>
      </c>
      <c r="B93" s="110" t="s">
        <v>62</v>
      </c>
      <c r="C93" s="110" t="s">
        <v>310</v>
      </c>
      <c r="D93" s="210" t="s">
        <v>285</v>
      </c>
      <c r="E93" s="210" t="s">
        <v>406</v>
      </c>
      <c r="F93" s="174" t="s">
        <v>700</v>
      </c>
      <c r="G93" s="110" t="s">
        <v>205</v>
      </c>
      <c r="H93" s="174" t="s">
        <v>285</v>
      </c>
      <c r="I93" s="174" t="s">
        <v>679</v>
      </c>
      <c r="J93" s="115" t="s">
        <v>336</v>
      </c>
      <c r="K93" s="210" t="s">
        <v>320</v>
      </c>
      <c r="L93" s="174" t="s">
        <v>321</v>
      </c>
      <c r="M93" s="175" t="s">
        <v>680</v>
      </c>
      <c r="N93" s="174" t="s">
        <v>681</v>
      </c>
      <c r="O93" s="175" t="s">
        <v>146</v>
      </c>
      <c r="P93" s="210" t="s">
        <v>682</v>
      </c>
      <c r="Q93" s="171" t="s">
        <v>325</v>
      </c>
      <c r="R93" s="171" t="s">
        <v>325</v>
      </c>
      <c r="S93" s="210" t="s">
        <v>406</v>
      </c>
      <c r="T93" s="173" t="s">
        <v>315</v>
      </c>
      <c r="U93" s="173" t="s">
        <v>328</v>
      </c>
      <c r="V93" s="173" t="s">
        <v>328</v>
      </c>
      <c r="W93" s="173" t="s">
        <v>329</v>
      </c>
      <c r="X93" s="173" t="s">
        <v>329</v>
      </c>
      <c r="Y93" s="173" t="s">
        <v>329</v>
      </c>
      <c r="Z93" s="173" t="s">
        <v>329</v>
      </c>
      <c r="AA93" s="173" t="s">
        <v>195</v>
      </c>
      <c r="AB93" s="173" t="s">
        <v>195</v>
      </c>
      <c r="AC93" s="176" t="s">
        <v>680</v>
      </c>
      <c r="AD93" s="177" t="s">
        <v>89</v>
      </c>
      <c r="AE93" s="177" t="s">
        <v>130</v>
      </c>
      <c r="AF93" s="178" t="s">
        <v>539</v>
      </c>
      <c r="AG93" s="173" t="s">
        <v>100</v>
      </c>
      <c r="AH93" s="178" t="str">
        <f t="shared" si="71"/>
        <v>BAJO</v>
      </c>
      <c r="AI93" s="177" t="s">
        <v>109</v>
      </c>
      <c r="AJ93" s="173" t="s">
        <v>124</v>
      </c>
      <c r="AK93" s="178" t="str">
        <f t="shared" si="72"/>
        <v>BAJO</v>
      </c>
      <c r="AL93" s="80" t="str">
        <f>VLOOKUP($AD93,[15]Tipologías!$B$3:$G$17,2,0)</f>
        <v>BAJO</v>
      </c>
      <c r="AM93" s="80">
        <f t="shared" si="52"/>
        <v>1</v>
      </c>
      <c r="AN93" s="80" t="str">
        <f>VLOOKUP($AE93,[15]Tipologías!$A$21:$C$24,3,0)</f>
        <v>BAJO</v>
      </c>
      <c r="AO93" s="80">
        <f t="shared" si="53"/>
        <v>1</v>
      </c>
      <c r="AP93" s="80">
        <f>VLOOKUP($AI93,[15]Tipologías!$A$38:$B$42,2,0)</f>
        <v>0</v>
      </c>
      <c r="AQ93" s="80">
        <f>VLOOKUP($AJ93,[15]Tipologías!$A$46:$B$53,2,0)</f>
        <v>0.25</v>
      </c>
      <c r="AR93" s="80" t="str">
        <f t="shared" si="67"/>
        <v>BAJO</v>
      </c>
      <c r="AS93" s="80" t="str">
        <f>VLOOKUP($AG93,[15]Tipologías!$A$29:$C$33,3,0)</f>
        <v>BAJO</v>
      </c>
      <c r="AT93" s="80" t="str">
        <f t="shared" si="68"/>
        <v>BAJO</v>
      </c>
      <c r="AU93" s="80" t="str">
        <f t="shared" si="69"/>
        <v>BAJO</v>
      </c>
      <c r="AV93" s="80" t="str">
        <f>_xlfn.IFNA(VLOOKUP(AD93,[15]Tipologías!$B$3:$G$17,4,0),"")</f>
        <v>INFORMACIÓN PÚBLICA</v>
      </c>
      <c r="AW93" s="80" t="str">
        <f t="shared" si="70"/>
        <v>IPB</v>
      </c>
      <c r="AX93" s="80" t="str">
        <f>_xlfn.IFNA(VLOOKUP(AD93,[15]Tipologías!$B$3:$G$17,3,0),"")</f>
        <v>LEY 1712 DE 2014 LEY DE TRANSPARENCIA Y DERECHO DE ACCESO A LA INFORMACIÓN. ARTÍCULO 6 DEFINICIONES LITERAL B.</v>
      </c>
      <c r="AY93" s="80" t="str">
        <f>_xlfn.IFNA(VLOOKUP(AD93,[15]Tipologías!$B$3:$G$17,5,0),"")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93" s="80" t="str">
        <f>_xlfn.IFNA(VLOOKUP(AD93,[15]Tipologías!$B$3:$G$17,6,0),"")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93" s="171" t="s">
        <v>195</v>
      </c>
      <c r="BB93" s="172">
        <v>45161</v>
      </c>
      <c r="BC93" s="171" t="s">
        <v>195</v>
      </c>
      <c r="BD93" s="173" t="s">
        <v>684</v>
      </c>
      <c r="BE93" s="173" t="s">
        <v>685</v>
      </c>
      <c r="BF93" s="161"/>
      <c r="BG93" s="161"/>
      <c r="BH93" s="161"/>
      <c r="BI93" s="161"/>
      <c r="BJ93" s="161"/>
      <c r="BK93" s="161"/>
      <c r="BL93" s="161"/>
      <c r="BM93" s="161"/>
      <c r="BN93" s="161"/>
      <c r="BO93" s="161"/>
      <c r="BP93" s="161"/>
      <c r="BQ93" s="161"/>
      <c r="BR93" s="161"/>
      <c r="BS93" s="161"/>
      <c r="BT93" s="161"/>
      <c r="BU93" s="161"/>
      <c r="BV93" s="161"/>
      <c r="BW93" s="161"/>
      <c r="BX93" s="161"/>
    </row>
    <row r="94" spans="1:76" s="67" customFormat="1" ht="207.75" customHeight="1" x14ac:dyDescent="0.2">
      <c r="A94" s="76">
        <v>85</v>
      </c>
      <c r="B94" s="74" t="s">
        <v>59</v>
      </c>
      <c r="C94" s="74" t="s">
        <v>302</v>
      </c>
      <c r="D94" s="100" t="s">
        <v>283</v>
      </c>
      <c r="E94" s="100" t="s">
        <v>701</v>
      </c>
      <c r="F94" s="75" t="s">
        <v>702</v>
      </c>
      <c r="G94" s="74" t="s">
        <v>140</v>
      </c>
      <c r="H94" s="75" t="s">
        <v>703</v>
      </c>
      <c r="I94" s="75" t="s">
        <v>374</v>
      </c>
      <c r="J94" s="107" t="s">
        <v>336</v>
      </c>
      <c r="K94" s="100" t="s">
        <v>320</v>
      </c>
      <c r="L94" s="75" t="s">
        <v>321</v>
      </c>
      <c r="M94" s="116" t="s">
        <v>195</v>
      </c>
      <c r="N94" s="75" t="s">
        <v>704</v>
      </c>
      <c r="O94" s="116" t="s">
        <v>151</v>
      </c>
      <c r="P94" s="212" t="s">
        <v>705</v>
      </c>
      <c r="Q94" s="76" t="s">
        <v>195</v>
      </c>
      <c r="R94" s="76" t="s">
        <v>325</v>
      </c>
      <c r="S94" s="100" t="s">
        <v>195</v>
      </c>
      <c r="T94" s="100" t="s">
        <v>195</v>
      </c>
      <c r="U94" s="77" t="s">
        <v>329</v>
      </c>
      <c r="V94" s="77" t="s">
        <v>195</v>
      </c>
      <c r="W94" s="77" t="s">
        <v>195</v>
      </c>
      <c r="X94" s="77" t="s">
        <v>195</v>
      </c>
      <c r="Y94" s="77" t="s">
        <v>195</v>
      </c>
      <c r="Z94" s="77" t="s">
        <v>195</v>
      </c>
      <c r="AA94" s="77" t="s">
        <v>195</v>
      </c>
      <c r="AB94" s="77" t="s">
        <v>195</v>
      </c>
      <c r="AC94" s="138" t="s">
        <v>195</v>
      </c>
      <c r="AD94" s="142" t="s">
        <v>208</v>
      </c>
      <c r="AE94" s="142" t="s">
        <v>134</v>
      </c>
      <c r="AF94" s="136" t="str">
        <f>AR94</f>
        <v>ALTO</v>
      </c>
      <c r="AG94" s="77" t="s">
        <v>102</v>
      </c>
      <c r="AH94" s="136" t="str">
        <f t="shared" si="71"/>
        <v>MEDIO</v>
      </c>
      <c r="AI94" s="78" t="s">
        <v>113</v>
      </c>
      <c r="AJ94" s="77" t="s">
        <v>120</v>
      </c>
      <c r="AK94" s="136" t="str">
        <f t="shared" si="72"/>
        <v>MEDIO</v>
      </c>
      <c r="AL94" s="80" t="str">
        <f>VLOOKUP($AD94,[16]Tipologías!$B$3:$G$17,2,FALSE)</f>
        <v>ALTO</v>
      </c>
      <c r="AM94" s="80">
        <f t="shared" si="52"/>
        <v>3</v>
      </c>
      <c r="AN94" s="80" t="str">
        <f>VLOOKUP($AE94,[16]Tipologías!$A$21:$C$24,3,FALSE)</f>
        <v>ALTO</v>
      </c>
      <c r="AO94" s="80">
        <f t="shared" si="53"/>
        <v>3</v>
      </c>
      <c r="AP94" s="80">
        <f>VLOOKUP($AI94,[16]Tipologías!$A$38:$B$42,2,FALSE)</f>
        <v>1</v>
      </c>
      <c r="AQ94" s="80">
        <f>VLOOKUP($AJ94,[16]Tipologías!$A$46:$B$53,2,FALSE)</f>
        <v>1.5</v>
      </c>
      <c r="AR94" s="80" t="str">
        <f>IF(MAX(AM94,AO94)=3,"ALTO",IF(MAX(AM94,AO94)=2,"MEDIO",IF(MAX(AM94,AO94)=1,"BAJO","  ")))</f>
        <v>ALTO</v>
      </c>
      <c r="AS94" s="80" t="str">
        <f>VLOOKUP($AG94,[16]Tipologías!$A$29:$C$33,3,FALSE)</f>
        <v>MEDIO</v>
      </c>
      <c r="AT94" s="80" t="str">
        <f>IF(SUM($AP94,$AQ94)&gt;=3,"ALTO",IF(SUM($AP94,$AQ94)&lt;2,"BAJO","MEDIO"))</f>
        <v>MEDIO</v>
      </c>
      <c r="AU94" s="80" t="str">
        <f>_xlfn.IFNA(IF(AND(AR94="BAJO",AS94="BAJO",AT94="BAJO"),"BAJO",IF(AND(AR94="ALTO",AS94="ALTO",AT94="ALTO"),"ALTO",IF(COUNTIF(AR94:AT94,"ALTO")=2,"ALTO","MEDIO")))," ")</f>
        <v>MEDIO</v>
      </c>
      <c r="AV94" s="80" t="str">
        <f>_xlfn.IFNA(VLOOKUP(AD94,[16]Tipologías!$B$3:$G$17,4,0),"")</f>
        <v>INFORMACIÓN PÚBLICA CLASIFICADA</v>
      </c>
      <c r="AW94" s="80" t="str">
        <f>IF(AV94="INFORMACIÓN PÚBLICA","IPB",IF(AV94="INFORMACIÓN PÚBLICA CLASIFICADA","IPC",IF(AV94="INFORMACIÓN PÚBLICA RESERVADA","IPR",IF(AV94="",""))))</f>
        <v>IPC</v>
      </c>
      <c r="AX94" s="80" t="str">
        <f>_xlfn.IFNA(VLOOKUP(AD94,[16]Tipologías!$B$3:$G$17,3,0),"")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94" s="80" t="str">
        <f>_xlfn.IFNA(VLOOKUP(AD94,[16]Tipologías!$B$3:$G$17,5,0),"")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94" s="80" t="str">
        <f>_xlfn.IFNA(VLOOKUP(AD94,[16]Tipologías!$B$3:$G$17,6,0),"")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94" s="148" t="s">
        <v>196</v>
      </c>
      <c r="BB94" s="166">
        <v>45154</v>
      </c>
      <c r="BC94" s="148" t="s">
        <v>201</v>
      </c>
      <c r="BD94" s="146" t="s">
        <v>706</v>
      </c>
      <c r="BE94" s="146" t="s">
        <v>707</v>
      </c>
      <c r="BF94" s="45"/>
      <c r="BG94" s="45"/>
      <c r="BH94" s="45"/>
      <c r="BI94" s="45"/>
      <c r="BJ94" s="45"/>
      <c r="BK94" s="45"/>
      <c r="BL94" s="45"/>
      <c r="BM94" s="45"/>
      <c r="BN94" s="45"/>
      <c r="BO94" s="45"/>
      <c r="BP94" s="45"/>
      <c r="BQ94" s="45"/>
      <c r="BR94" s="45"/>
      <c r="BS94" s="45"/>
      <c r="BT94" s="45"/>
      <c r="BU94" s="45"/>
      <c r="BV94" s="45"/>
      <c r="BW94" s="45"/>
      <c r="BX94" s="45"/>
    </row>
    <row r="95" spans="1:76" s="67" customFormat="1" ht="207.75" customHeight="1" x14ac:dyDescent="0.2">
      <c r="A95" s="76">
        <v>86</v>
      </c>
      <c r="B95" s="74" t="s">
        <v>59</v>
      </c>
      <c r="C95" s="74" t="s">
        <v>302</v>
      </c>
      <c r="D95" s="100" t="s">
        <v>283</v>
      </c>
      <c r="E95" s="100" t="s">
        <v>708</v>
      </c>
      <c r="F95" s="75" t="s">
        <v>709</v>
      </c>
      <c r="G95" s="74" t="s">
        <v>205</v>
      </c>
      <c r="H95" s="75" t="s">
        <v>703</v>
      </c>
      <c r="I95" s="75" t="s">
        <v>710</v>
      </c>
      <c r="J95" s="107" t="s">
        <v>319</v>
      </c>
      <c r="K95" s="100" t="s">
        <v>320</v>
      </c>
      <c r="L95" s="75" t="s">
        <v>321</v>
      </c>
      <c r="M95" s="75" t="s">
        <v>711</v>
      </c>
      <c r="N95" s="75" t="s">
        <v>681</v>
      </c>
      <c r="O95" s="116" t="s">
        <v>151</v>
      </c>
      <c r="P95" s="100" t="s">
        <v>540</v>
      </c>
      <c r="Q95" s="76" t="s">
        <v>325</v>
      </c>
      <c r="R95" s="76" t="s">
        <v>325</v>
      </c>
      <c r="S95" s="100" t="s">
        <v>712</v>
      </c>
      <c r="T95" s="100" t="s">
        <v>712</v>
      </c>
      <c r="U95" s="77" t="s">
        <v>328</v>
      </c>
      <c r="V95" s="77" t="s">
        <v>328</v>
      </c>
      <c r="W95" s="77" t="s">
        <v>329</v>
      </c>
      <c r="X95" s="77" t="s">
        <v>329</v>
      </c>
      <c r="Y95" s="77" t="s">
        <v>329</v>
      </c>
      <c r="Z95" s="77" t="s">
        <v>329</v>
      </c>
      <c r="AA95" s="77" t="s">
        <v>328</v>
      </c>
      <c r="AB95" s="77" t="s">
        <v>328</v>
      </c>
      <c r="AC95" s="138" t="s">
        <v>195</v>
      </c>
      <c r="AD95" s="142" t="s">
        <v>206</v>
      </c>
      <c r="AE95" s="142" t="s">
        <v>132</v>
      </c>
      <c r="AF95" s="136" t="str">
        <f t="shared" ref="AF95:AF97" si="73">AR95</f>
        <v>ALTO</v>
      </c>
      <c r="AG95" s="77" t="s">
        <v>104</v>
      </c>
      <c r="AH95" s="136" t="str">
        <f t="shared" ref="AH95:AH97" si="74">_xlfn.IFNA((AS95),"")</f>
        <v>ALTO</v>
      </c>
      <c r="AI95" s="78" t="s">
        <v>115</v>
      </c>
      <c r="AJ95" s="77" t="s">
        <v>122</v>
      </c>
      <c r="AK95" s="136" t="str">
        <f t="shared" ref="AK95:AK97" si="75">_xlfn.IFNA((AT95),"")</f>
        <v>ALTO</v>
      </c>
      <c r="AL95" s="80" t="str">
        <f>VLOOKUP($AD95,[16]Tipologías!$B$3:$G$17,2,FALSE)</f>
        <v>ALTO</v>
      </c>
      <c r="AM95" s="80">
        <f t="shared" si="52"/>
        <v>3</v>
      </c>
      <c r="AN95" s="80" t="str">
        <f>VLOOKUP($AE95,[16]Tipologías!$A$21:$C$24,3,FALSE)</f>
        <v>MEDIO</v>
      </c>
      <c r="AO95" s="80">
        <f t="shared" si="53"/>
        <v>2</v>
      </c>
      <c r="AP95" s="80">
        <f>VLOOKUP($AI95,[16]Tipologías!$A$38:$B$42,2,FALSE)</f>
        <v>2</v>
      </c>
      <c r="AQ95" s="80">
        <f>VLOOKUP($AJ95,[16]Tipologías!$A$46:$B$53,2,FALSE)</f>
        <v>1</v>
      </c>
      <c r="AR95" s="80" t="str">
        <f>IF(MAX(AM95,AO95)=3,"ALTO",IF(MAX(AM95,AO95)=2,"MEDIO",IF(MAX(AM95,AO95)=1,"BAJO","  ")))</f>
        <v>ALTO</v>
      </c>
      <c r="AS95" s="80" t="str">
        <f>VLOOKUP($AG95,[16]Tipologías!$A$29:$C$33,3,FALSE)</f>
        <v>ALTO</v>
      </c>
      <c r="AT95" s="80" t="str">
        <f>IF(SUM($AP95,$AQ95)&gt;=3,"ALTO",IF(SUM($AP95,$AQ95)&lt;2,"BAJO","MEDIO"))</f>
        <v>ALTO</v>
      </c>
      <c r="AU95" s="80" t="str">
        <f>_xlfn.IFNA(IF(AND(AR95="BAJO",AS95="BAJO",AT95="BAJO"),"BAJO",IF(AND(AR95="ALTO",AS95="ALTO",AT95="ALTO"),"ALTO",IF(COUNTIF(AR95:AT95,"ALTO")=2,"ALTO","MEDIO")))," ")</f>
        <v>ALTO</v>
      </c>
      <c r="AV95" s="80" t="str">
        <f>_xlfn.IFNA(VLOOKUP(AD95,[16]Tipologías!$B$3:$G$17,4,0),"")</f>
        <v>INFORMACIÓN PÚBLICA CLASIFICADA</v>
      </c>
      <c r="AW95" s="80" t="str">
        <f>IF(AV95="INFORMACIÓN PÚBLICA","IPB",IF(AV95="INFORMACIÓN PÚBLICA CLASIFICADA","IPC",IF(AV95="INFORMACIÓN PÚBLICA RESERVADA","IPR",IF(AV95="",""))))</f>
        <v>IPC</v>
      </c>
      <c r="AX95" s="80" t="str">
        <f>_xlfn.IFNA(VLOOKUP(AD95,[16]Tipologías!$B$3:$G$17,3,0),"")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95" s="80" t="str">
        <f>_xlfn.IFNA(VLOOKUP(AD95,[16]Tipologías!$B$3:$G$17,5,0),"")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95" s="80" t="str">
        <f>_xlfn.IFNA(VLOOKUP(AD95,[16]Tipologías!$B$3:$G$17,6,0),"")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95" s="148" t="s">
        <v>197</v>
      </c>
      <c r="BB95" s="166">
        <v>45154</v>
      </c>
      <c r="BC95" s="148" t="s">
        <v>201</v>
      </c>
      <c r="BD95" s="146" t="s">
        <v>706</v>
      </c>
      <c r="BE95" s="146" t="s">
        <v>707</v>
      </c>
      <c r="BF95" s="45"/>
      <c r="BG95" s="45"/>
      <c r="BH95" s="45"/>
      <c r="BI95" s="45"/>
      <c r="BJ95" s="45"/>
      <c r="BK95" s="45"/>
      <c r="BL95" s="45"/>
      <c r="BM95" s="45"/>
      <c r="BN95" s="45"/>
      <c r="BO95" s="45"/>
      <c r="BP95" s="45"/>
      <c r="BQ95" s="45"/>
      <c r="BR95" s="45"/>
      <c r="BS95" s="45"/>
      <c r="BT95" s="45"/>
      <c r="BU95" s="45"/>
      <c r="BV95" s="45"/>
      <c r="BW95" s="45"/>
      <c r="BX95" s="45"/>
    </row>
    <row r="96" spans="1:76" s="67" customFormat="1" ht="207.75" customHeight="1" x14ac:dyDescent="0.2">
      <c r="A96" s="76">
        <v>87</v>
      </c>
      <c r="B96" s="74" t="s">
        <v>59</v>
      </c>
      <c r="C96" s="74" t="s">
        <v>302</v>
      </c>
      <c r="D96" s="100" t="s">
        <v>283</v>
      </c>
      <c r="E96" s="100" t="s">
        <v>713</v>
      </c>
      <c r="F96" s="75" t="s">
        <v>714</v>
      </c>
      <c r="G96" s="74" t="s">
        <v>205</v>
      </c>
      <c r="H96" s="75" t="s">
        <v>703</v>
      </c>
      <c r="I96" s="75" t="s">
        <v>715</v>
      </c>
      <c r="J96" s="107" t="s">
        <v>319</v>
      </c>
      <c r="K96" s="100" t="s">
        <v>320</v>
      </c>
      <c r="L96" s="75" t="s">
        <v>321</v>
      </c>
      <c r="M96" s="75" t="s">
        <v>711</v>
      </c>
      <c r="N96" s="75" t="s">
        <v>681</v>
      </c>
      <c r="O96" s="116" t="s">
        <v>151</v>
      </c>
      <c r="P96" s="100" t="s">
        <v>540</v>
      </c>
      <c r="Q96" s="76" t="s">
        <v>325</v>
      </c>
      <c r="R96" s="76" t="s">
        <v>325</v>
      </c>
      <c r="S96" s="100" t="s">
        <v>716</v>
      </c>
      <c r="T96" s="100" t="s">
        <v>716</v>
      </c>
      <c r="U96" s="77" t="s">
        <v>328</v>
      </c>
      <c r="V96" s="77" t="s">
        <v>328</v>
      </c>
      <c r="W96" s="77" t="s">
        <v>329</v>
      </c>
      <c r="X96" s="77" t="s">
        <v>329</v>
      </c>
      <c r="Y96" s="77" t="s">
        <v>329</v>
      </c>
      <c r="Z96" s="77" t="s">
        <v>329</v>
      </c>
      <c r="AA96" s="77" t="s">
        <v>328</v>
      </c>
      <c r="AB96" s="77" t="s">
        <v>328</v>
      </c>
      <c r="AC96" s="138" t="s">
        <v>195</v>
      </c>
      <c r="AD96" s="142" t="s">
        <v>206</v>
      </c>
      <c r="AE96" s="142" t="s">
        <v>132</v>
      </c>
      <c r="AF96" s="136" t="str">
        <f t="shared" si="73"/>
        <v>ALTO</v>
      </c>
      <c r="AG96" s="77" t="s">
        <v>104</v>
      </c>
      <c r="AH96" s="136" t="str">
        <f t="shared" si="74"/>
        <v>ALTO</v>
      </c>
      <c r="AI96" s="78" t="s">
        <v>115</v>
      </c>
      <c r="AJ96" s="77" t="s">
        <v>122</v>
      </c>
      <c r="AK96" s="136" t="str">
        <f t="shared" si="75"/>
        <v>ALTO</v>
      </c>
      <c r="AL96" s="80" t="str">
        <f>VLOOKUP($AD96,[16]Tipologías!$B$3:$G$17,2,FALSE)</f>
        <v>ALTO</v>
      </c>
      <c r="AM96" s="80">
        <f t="shared" si="52"/>
        <v>3</v>
      </c>
      <c r="AN96" s="80" t="str">
        <f>VLOOKUP($AE96,[16]Tipologías!$A$21:$C$24,3,FALSE)</f>
        <v>MEDIO</v>
      </c>
      <c r="AO96" s="80">
        <f t="shared" si="53"/>
        <v>2</v>
      </c>
      <c r="AP96" s="80">
        <f>VLOOKUP($AI96,[16]Tipologías!$A$38:$B$42,2,FALSE)</f>
        <v>2</v>
      </c>
      <c r="AQ96" s="80">
        <f>VLOOKUP($AJ96,[16]Tipologías!$A$46:$B$53,2,FALSE)</f>
        <v>1</v>
      </c>
      <c r="AR96" s="80" t="str">
        <f t="shared" ref="AR96:AR97" si="76">IF(MAX(AM96,AO96)=3,"ALTO",IF(MAX(AM96,AO96)=2,"MEDIO",IF(MAX(AM96,AO96)=1,"BAJO","  ")))</f>
        <v>ALTO</v>
      </c>
      <c r="AS96" s="80" t="str">
        <f>VLOOKUP($AG96,[16]Tipologías!$A$29:$C$33,3,FALSE)</f>
        <v>ALTO</v>
      </c>
      <c r="AT96" s="80" t="str">
        <f t="shared" ref="AT96:AT97" si="77">IF(SUM($AP96,$AQ96)&gt;=3,"ALTO",IF(SUM($AP96,$AQ96)&lt;2,"BAJO","MEDIO"))</f>
        <v>ALTO</v>
      </c>
      <c r="AU96" s="80" t="str">
        <f t="shared" ref="AU96:AU97" si="78">_xlfn.IFNA(IF(AND(AR96="BAJO",AS96="BAJO",AT96="BAJO"),"BAJO",IF(AND(AR96="ALTO",AS96="ALTO",AT96="ALTO"),"ALTO",IF(COUNTIF(AR96:AT96,"ALTO")=2,"ALTO","MEDIO")))," ")</f>
        <v>ALTO</v>
      </c>
      <c r="AV96" s="80" t="str">
        <f>_xlfn.IFNA(VLOOKUP(AD96,[16]Tipologías!$B$3:$G$17,4,0),"")</f>
        <v>INFORMACIÓN PÚBLICA CLASIFICADA</v>
      </c>
      <c r="AW96" s="80" t="str">
        <f t="shared" ref="AW96:AW97" si="79">IF(AV96="INFORMACIÓN PÚBLICA","IPB",IF(AV96="INFORMACIÓN PÚBLICA CLASIFICADA","IPC",IF(AV96="INFORMACIÓN PÚBLICA RESERVADA","IPR",IF(AV96="",""))))</f>
        <v>IPC</v>
      </c>
      <c r="AX96" s="80" t="str">
        <f>_xlfn.IFNA(VLOOKUP(AD96,[16]Tipologías!$B$3:$G$17,3,0),"")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96" s="80" t="str">
        <f>_xlfn.IFNA(VLOOKUP(AD96,[16]Tipologías!$B$3:$G$17,5,0),"")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96" s="80" t="str">
        <f>_xlfn.IFNA(VLOOKUP(AD96,[16]Tipologías!$B$3:$G$17,6,0),"")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96" s="148" t="s">
        <v>197</v>
      </c>
      <c r="BB96" s="166">
        <v>45154</v>
      </c>
      <c r="BC96" s="148" t="s">
        <v>201</v>
      </c>
      <c r="BD96" s="146" t="s">
        <v>706</v>
      </c>
      <c r="BE96" s="146" t="s">
        <v>707</v>
      </c>
      <c r="BF96" s="45"/>
      <c r="BG96" s="45"/>
      <c r="BH96" s="45"/>
      <c r="BI96" s="45"/>
      <c r="BJ96" s="45"/>
      <c r="BK96" s="45"/>
      <c r="BL96" s="45"/>
      <c r="BM96" s="45"/>
      <c r="BN96" s="45"/>
      <c r="BO96" s="45"/>
      <c r="BP96" s="45"/>
      <c r="BQ96" s="45"/>
      <c r="BR96" s="45"/>
      <c r="BS96" s="45"/>
      <c r="BT96" s="45"/>
      <c r="BU96" s="45"/>
      <c r="BV96" s="45"/>
      <c r="BW96" s="45"/>
      <c r="BX96" s="45"/>
    </row>
    <row r="97" spans="1:76" s="67" customFormat="1" ht="207.75" customHeight="1" x14ac:dyDescent="0.2">
      <c r="A97" s="76">
        <v>88</v>
      </c>
      <c r="B97" s="74" t="s">
        <v>59</v>
      </c>
      <c r="C97" s="74" t="s">
        <v>302</v>
      </c>
      <c r="D97" s="100" t="s">
        <v>283</v>
      </c>
      <c r="E97" s="100" t="s">
        <v>717</v>
      </c>
      <c r="F97" s="75" t="s">
        <v>718</v>
      </c>
      <c r="G97" s="74" t="s">
        <v>174</v>
      </c>
      <c r="H97" s="75" t="s">
        <v>703</v>
      </c>
      <c r="I97" s="75" t="s">
        <v>374</v>
      </c>
      <c r="J97" s="115" t="s">
        <v>336</v>
      </c>
      <c r="K97" s="100" t="s">
        <v>320</v>
      </c>
      <c r="L97" s="75" t="s">
        <v>321</v>
      </c>
      <c r="M97" s="116" t="s">
        <v>195</v>
      </c>
      <c r="N97" s="75" t="s">
        <v>704</v>
      </c>
      <c r="O97" s="116" t="s">
        <v>151</v>
      </c>
      <c r="P97" s="100" t="s">
        <v>719</v>
      </c>
      <c r="Q97" s="76" t="s">
        <v>195</v>
      </c>
      <c r="R97" s="76" t="s">
        <v>325</v>
      </c>
      <c r="S97" s="100" t="s">
        <v>195</v>
      </c>
      <c r="T97" s="100" t="s">
        <v>195</v>
      </c>
      <c r="U97" s="77" t="s">
        <v>328</v>
      </c>
      <c r="V97" s="77" t="s">
        <v>328</v>
      </c>
      <c r="W97" s="77" t="s">
        <v>328</v>
      </c>
      <c r="X97" s="77" t="s">
        <v>329</v>
      </c>
      <c r="Y97" s="77" t="s">
        <v>329</v>
      </c>
      <c r="Z97" s="77" t="s">
        <v>329</v>
      </c>
      <c r="AA97" s="77" t="s">
        <v>195</v>
      </c>
      <c r="AB97" s="77" t="s">
        <v>195</v>
      </c>
      <c r="AC97" s="138" t="s">
        <v>195</v>
      </c>
      <c r="AD97" s="142" t="s">
        <v>206</v>
      </c>
      <c r="AE97" s="142" t="s">
        <v>132</v>
      </c>
      <c r="AF97" s="136" t="str">
        <f t="shared" si="73"/>
        <v>ALTO</v>
      </c>
      <c r="AG97" s="77" t="s">
        <v>104</v>
      </c>
      <c r="AH97" s="136" t="str">
        <f t="shared" si="74"/>
        <v>ALTO</v>
      </c>
      <c r="AI97" s="78" t="s">
        <v>115</v>
      </c>
      <c r="AJ97" s="77" t="s">
        <v>121</v>
      </c>
      <c r="AK97" s="136" t="str">
        <f t="shared" si="75"/>
        <v>ALTO</v>
      </c>
      <c r="AL97" s="80" t="str">
        <f>VLOOKUP($AD97,[16]Tipologías!$B$3:$G$17,2,FALSE)</f>
        <v>ALTO</v>
      </c>
      <c r="AM97" s="80">
        <f t="shared" si="52"/>
        <v>3</v>
      </c>
      <c r="AN97" s="80" t="str">
        <f>VLOOKUP($AE97,[16]Tipologías!$A$21:$C$24,3,FALSE)</f>
        <v>MEDIO</v>
      </c>
      <c r="AO97" s="80">
        <f t="shared" si="53"/>
        <v>2</v>
      </c>
      <c r="AP97" s="80">
        <f>VLOOKUP($AI97,[16]Tipologías!$A$38:$B$42,2,FALSE)</f>
        <v>2</v>
      </c>
      <c r="AQ97" s="80">
        <f>VLOOKUP($AJ97,[16]Tipologías!$A$46:$B$53,2,FALSE)</f>
        <v>1.25</v>
      </c>
      <c r="AR97" s="80" t="str">
        <f t="shared" si="76"/>
        <v>ALTO</v>
      </c>
      <c r="AS97" s="80" t="str">
        <f>VLOOKUP($AG97,[16]Tipologías!$A$29:$C$33,3,FALSE)</f>
        <v>ALTO</v>
      </c>
      <c r="AT97" s="80" t="str">
        <f t="shared" si="77"/>
        <v>ALTO</v>
      </c>
      <c r="AU97" s="80" t="str">
        <f t="shared" si="78"/>
        <v>ALTO</v>
      </c>
      <c r="AV97" s="80" t="str">
        <f>_xlfn.IFNA(VLOOKUP(AD97,[16]Tipologías!$B$3:$G$17,4,0),"")</f>
        <v>INFORMACIÓN PÚBLICA CLASIFICADA</v>
      </c>
      <c r="AW97" s="80" t="str">
        <f t="shared" si="79"/>
        <v>IPC</v>
      </c>
      <c r="AX97" s="80" t="str">
        <f>_xlfn.IFNA(VLOOKUP(AD97,[16]Tipologías!$B$3:$G$17,3,0),"")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97" s="80" t="str">
        <f>_xlfn.IFNA(VLOOKUP(AD97,[16]Tipologías!$B$3:$G$17,5,0),"")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97" s="80" t="str">
        <f>_xlfn.IFNA(VLOOKUP(AD97,[16]Tipologías!$B$3:$G$17,6,0),"")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97" s="148" t="s">
        <v>197</v>
      </c>
      <c r="BB97" s="166">
        <v>45154</v>
      </c>
      <c r="BC97" s="148" t="s">
        <v>201</v>
      </c>
      <c r="BD97" s="146" t="s">
        <v>706</v>
      </c>
      <c r="BE97" s="146" t="s">
        <v>707</v>
      </c>
      <c r="BF97" s="45"/>
      <c r="BG97" s="45"/>
      <c r="BH97" s="45"/>
      <c r="BI97" s="45"/>
      <c r="BJ97" s="45"/>
      <c r="BK97" s="45"/>
      <c r="BL97" s="45"/>
      <c r="BM97" s="45"/>
      <c r="BN97" s="45"/>
      <c r="BO97" s="45"/>
      <c r="BP97" s="45"/>
      <c r="BQ97" s="45"/>
      <c r="BR97" s="45"/>
      <c r="BS97" s="45"/>
      <c r="BT97" s="45"/>
      <c r="BU97" s="45"/>
      <c r="BV97" s="45"/>
      <c r="BW97" s="45"/>
      <c r="BX97" s="45"/>
    </row>
    <row r="98" spans="1:76" s="67" customFormat="1" ht="206.45" customHeight="1" x14ac:dyDescent="0.2">
      <c r="A98" s="76">
        <v>89</v>
      </c>
      <c r="B98" s="74" t="s">
        <v>55</v>
      </c>
      <c r="C98" s="74" t="s">
        <v>296</v>
      </c>
      <c r="D98" s="100" t="s">
        <v>281</v>
      </c>
      <c r="E98" s="100" t="s">
        <v>720</v>
      </c>
      <c r="F98" s="75" t="s">
        <v>721</v>
      </c>
      <c r="G98" s="74" t="s">
        <v>205</v>
      </c>
      <c r="H98" s="75" t="s">
        <v>722</v>
      </c>
      <c r="I98" s="75" t="s">
        <v>722</v>
      </c>
      <c r="J98" s="107" t="s">
        <v>336</v>
      </c>
      <c r="K98" s="100" t="s">
        <v>320</v>
      </c>
      <c r="L98" s="75" t="s">
        <v>321</v>
      </c>
      <c r="M98" s="75" t="s">
        <v>195</v>
      </c>
      <c r="N98" s="75" t="s">
        <v>723</v>
      </c>
      <c r="O98" s="75" t="s">
        <v>151</v>
      </c>
      <c r="P98" s="100" t="s">
        <v>339</v>
      </c>
      <c r="Q98" s="76" t="s">
        <v>325</v>
      </c>
      <c r="R98" s="76" t="s">
        <v>325</v>
      </c>
      <c r="S98" s="100" t="s">
        <v>724</v>
      </c>
      <c r="T98" s="100" t="s">
        <v>725</v>
      </c>
      <c r="U98" s="77" t="s">
        <v>328</v>
      </c>
      <c r="V98" s="77" t="s">
        <v>328</v>
      </c>
      <c r="W98" s="77" t="s">
        <v>329</v>
      </c>
      <c r="X98" s="77" t="s">
        <v>329</v>
      </c>
      <c r="Y98" s="77" t="s">
        <v>329</v>
      </c>
      <c r="Z98" s="77" t="s">
        <v>329</v>
      </c>
      <c r="AA98" s="77" t="s">
        <v>329</v>
      </c>
      <c r="AB98" s="77" t="s">
        <v>329</v>
      </c>
      <c r="AC98" s="79" t="s">
        <v>195</v>
      </c>
      <c r="AD98" s="78" t="s">
        <v>211</v>
      </c>
      <c r="AE98" s="78" t="s">
        <v>132</v>
      </c>
      <c r="AF98" s="136" t="str">
        <f>AR98</f>
        <v>ALTO</v>
      </c>
      <c r="AG98" s="78" t="s">
        <v>102</v>
      </c>
      <c r="AH98" s="136" t="str">
        <f>_xlfn.IFNA((AS98),"")</f>
        <v>MEDIO</v>
      </c>
      <c r="AI98" s="78" t="s">
        <v>113</v>
      </c>
      <c r="AJ98" s="78" t="s">
        <v>121</v>
      </c>
      <c r="AK98" s="136" t="str">
        <f>_xlfn.IFNA((AT98),"")</f>
        <v>MEDIO</v>
      </c>
      <c r="AL98" s="80" t="str">
        <f>VLOOKUP($AD98,[17]Tipologías!$B$3:$G$17,2,FALSE)</f>
        <v>ALTO</v>
      </c>
      <c r="AM98" s="80">
        <f t="shared" si="52"/>
        <v>3</v>
      </c>
      <c r="AN98" s="80" t="str">
        <f>VLOOKUP($AE98,[17]Tipologías!$A$21:$C$24,3,FALSE)</f>
        <v>MEDIO</v>
      </c>
      <c r="AO98" s="80">
        <f t="shared" si="53"/>
        <v>2</v>
      </c>
      <c r="AP98" s="80">
        <f>VLOOKUP($AI98,[17]Tipologías!$A$38:$B$42,2,FALSE)</f>
        <v>1</v>
      </c>
      <c r="AQ98" s="80">
        <f>VLOOKUP($AJ98,[17]Tipologías!$A$46:$B$53,2,FALSE)</f>
        <v>1.25</v>
      </c>
      <c r="AR98" s="80" t="str">
        <f>IF(MAX(AM98,AO98)=3,"ALTO",IF(MAX(AM98,AO98)=2,"MEDIO",IF(MAX(AM98,AO98)=1,"BAJO","  ")))</f>
        <v>ALTO</v>
      </c>
      <c r="AS98" s="80" t="str">
        <f>VLOOKUP($AG98,[17]Tipologías!$A$29:$C$33,3,FALSE)</f>
        <v>MEDIO</v>
      </c>
      <c r="AT98" s="80" t="str">
        <f>IF(SUM($AP98,$AQ98)&gt;=3,"ALTO",IF(SUM($AP98,$AQ98)&lt;2,"BAJO","MEDIO"))</f>
        <v>MEDIO</v>
      </c>
      <c r="AU98" s="80" t="str">
        <f>_xlfn.IFNA(IF(AND(AR98="BAJO",AS98="BAJO",AT98="BAJO"),"BAJO",IF(AND(AR98="ALTO",AS98="ALTO",AT98="ALTO"),"ALTO",IF(COUNTIF(AR98:AT98,"ALTO")=2,"ALTO","MEDIO")))," ")</f>
        <v>MEDIO</v>
      </c>
      <c r="AV98" s="80" t="str">
        <f>_xlfn.IFNA(VLOOKUP(AD98,[17]Tipologías!$B$3:$G$17,4,0),"")</f>
        <v>INFORMACIÓN PÚBLICA RESERVADA</v>
      </c>
      <c r="AW98" s="80" t="str">
        <f>IF(AV98="INFORMACIÓN PÚBLICA","IPB",IF(AV98="INFORMACIÓN PÚBLICA CLASIFICADA","IPC",IF(AV98="INFORMACIÓN PÚBLICA RESERVADA","IPR",IF(AV98="",""))))</f>
        <v>IPR</v>
      </c>
      <c r="AX98" s="80" t="str">
        <f>_xlfn.IFNA(VLOOKUP(AD98,[17]Tipologías!$B$3:$G$17,3,0),"")</f>
        <v>LEY 1712   DE 2014 ARTÍCULO 19 LITERAL C "LAS RELACIONES INTERNACIONALES."</v>
      </c>
      <c r="AY98" s="80" t="str">
        <f>_xlfn.IFNA(VLOOKUP(AD98,[17]Tipologías!$B$3:$G$17,5,0),"")</f>
        <v xml:space="preserve">ARTÍCULO 24 LEY 1437 DE 2011 CPACA - SUSTITUIDO POR EL ARTÍCULO 1 DE LA LEY 1755 DE 2015 NUMERAL 2: TENDRÁN CARÁCTER RESERVADO LAS INFORMACIONES Y DOCUMENTOS EXPRESAMENTE SOMETIDOS A RESERVA POR LA CONSTITUCIÓN POLÍTICA Y EN ESPECIAL LAS INSTRUCCIONES EN MATERIA DIPLOMÁTICA
</v>
      </c>
      <c r="AZ98" s="80" t="str">
        <f>_xlfn.IFNA(VLOOKUP(AD98,[17]Tipologías!$B$3:$G$17,6,0),"")</f>
        <v xml:space="preserve">LEY 1712 DE 2014 ARTÍCULO 19  </v>
      </c>
      <c r="BA98" s="76" t="s">
        <v>197</v>
      </c>
      <c r="BB98" s="215">
        <v>45197</v>
      </c>
      <c r="BC98" s="76" t="s">
        <v>221</v>
      </c>
      <c r="BD98" s="78" t="s">
        <v>726</v>
      </c>
      <c r="BE98" s="78" t="s">
        <v>727</v>
      </c>
      <c r="BF98" s="45"/>
      <c r="BG98" s="45"/>
      <c r="BH98" s="45"/>
      <c r="BI98" s="45"/>
      <c r="BJ98" s="45"/>
      <c r="BK98" s="45"/>
      <c r="BL98" s="45"/>
      <c r="BM98" s="45"/>
      <c r="BN98" s="45"/>
      <c r="BO98" s="45"/>
      <c r="BP98" s="45"/>
      <c r="BQ98" s="45"/>
      <c r="BR98" s="45"/>
      <c r="BS98" s="45"/>
      <c r="BT98" s="45"/>
      <c r="BU98" s="45"/>
      <c r="BV98" s="45"/>
      <c r="BW98" s="45"/>
      <c r="BX98" s="45"/>
    </row>
    <row r="99" spans="1:76" s="67" customFormat="1" ht="206.45" customHeight="1" x14ac:dyDescent="0.2">
      <c r="A99" s="76">
        <v>90</v>
      </c>
      <c r="B99" s="74" t="s">
        <v>55</v>
      </c>
      <c r="C99" s="74" t="s">
        <v>296</v>
      </c>
      <c r="D99" s="100" t="s">
        <v>281</v>
      </c>
      <c r="E99" s="100" t="s">
        <v>728</v>
      </c>
      <c r="F99" s="75" t="s">
        <v>729</v>
      </c>
      <c r="G99" s="74" t="s">
        <v>205</v>
      </c>
      <c r="H99" s="75" t="s">
        <v>730</v>
      </c>
      <c r="I99" s="75" t="s">
        <v>730</v>
      </c>
      <c r="J99" s="107" t="s">
        <v>336</v>
      </c>
      <c r="K99" s="100" t="s">
        <v>320</v>
      </c>
      <c r="L99" s="75" t="s">
        <v>321</v>
      </c>
      <c r="M99" s="75" t="s">
        <v>195</v>
      </c>
      <c r="N99" s="75" t="s">
        <v>731</v>
      </c>
      <c r="O99" s="75" t="s">
        <v>151</v>
      </c>
      <c r="P99" s="100" t="s">
        <v>339</v>
      </c>
      <c r="Q99" s="76" t="s">
        <v>325</v>
      </c>
      <c r="R99" s="76" t="s">
        <v>325</v>
      </c>
      <c r="S99" s="100" t="s">
        <v>724</v>
      </c>
      <c r="T99" s="100" t="s">
        <v>732</v>
      </c>
      <c r="U99" s="77" t="s">
        <v>328</v>
      </c>
      <c r="V99" s="77" t="s">
        <v>328</v>
      </c>
      <c r="W99" s="77" t="s">
        <v>329</v>
      </c>
      <c r="X99" s="77" t="s">
        <v>329</v>
      </c>
      <c r="Y99" s="77" t="s">
        <v>329</v>
      </c>
      <c r="Z99" s="77" t="s">
        <v>329</v>
      </c>
      <c r="AA99" s="77" t="s">
        <v>195</v>
      </c>
      <c r="AB99" s="77" t="s">
        <v>329</v>
      </c>
      <c r="AC99" s="79" t="s">
        <v>195</v>
      </c>
      <c r="AD99" s="78" t="s">
        <v>89</v>
      </c>
      <c r="AE99" s="78" t="s">
        <v>132</v>
      </c>
      <c r="AF99" s="136" t="str">
        <f t="shared" ref="AF99:AF100" si="80">AR99</f>
        <v>MEDIO</v>
      </c>
      <c r="AG99" s="78" t="s">
        <v>104</v>
      </c>
      <c r="AH99" s="136" t="str">
        <f t="shared" ref="AH99:AH100" si="81">_xlfn.IFNA((AS99),"")</f>
        <v>ALTO</v>
      </c>
      <c r="AI99" s="78" t="s">
        <v>111</v>
      </c>
      <c r="AJ99" s="78" t="s">
        <v>121</v>
      </c>
      <c r="AK99" s="136" t="str">
        <f t="shared" ref="AK99:AK100" si="82">_xlfn.IFNA((AT99),"")</f>
        <v>BAJO</v>
      </c>
      <c r="AL99" s="80" t="str">
        <f>VLOOKUP($AD99,[17]Tipologías!$B$3:$G$17,2,FALSE)</f>
        <v>BAJO</v>
      </c>
      <c r="AM99" s="80">
        <f t="shared" si="52"/>
        <v>1</v>
      </c>
      <c r="AN99" s="80" t="str">
        <f>VLOOKUP($AE99,[17]Tipologías!$A$21:$C$24,3,FALSE)</f>
        <v>MEDIO</v>
      </c>
      <c r="AO99" s="80">
        <f t="shared" si="53"/>
        <v>2</v>
      </c>
      <c r="AP99" s="80">
        <f>VLOOKUP($AI99,[17]Tipologías!$A$38:$B$42,2,FALSE)</f>
        <v>0.5</v>
      </c>
      <c r="AQ99" s="80">
        <f>VLOOKUP($AJ99,[17]Tipologías!$A$46:$B$53,2,FALSE)</f>
        <v>1.25</v>
      </c>
      <c r="AR99" s="80" t="str">
        <f>IF(MAX(AM99,AO99)=3,"ALTO",IF(MAX(AM99,AO99)=2,"MEDIO",IF(MAX(AM99,AO99)=1,"BAJO","  ")))</f>
        <v>MEDIO</v>
      </c>
      <c r="AS99" s="80" t="str">
        <f>VLOOKUP($AG99,[17]Tipologías!$A$29:$C$33,3,FALSE)</f>
        <v>ALTO</v>
      </c>
      <c r="AT99" s="80" t="str">
        <f>IF(SUM($AP99,$AQ99)&gt;=3,"ALTO",IF(SUM($AP99,$AQ99)&lt;2,"BAJO","MEDIO"))</f>
        <v>BAJO</v>
      </c>
      <c r="AU99" s="80" t="str">
        <f>_xlfn.IFNA(IF(AND(AR99="BAJO",AS99="BAJO",AT99="BAJO"),"BAJO",IF(AND(AR99="ALTO",AS99="ALTO",AT99="ALTO"),"ALTO",IF(COUNTIF(AR99:AT99,"ALTO")=2,"ALTO","MEDIO")))," ")</f>
        <v>MEDIO</v>
      </c>
      <c r="AV99" s="80" t="str">
        <f>_xlfn.IFNA(VLOOKUP(AD99,[17]Tipologías!$B$3:$G$17,4,0),"")</f>
        <v>INFORMACIÓN PÚBLICA</v>
      </c>
      <c r="AW99" s="80" t="str">
        <f>IF(AV99="INFORMACIÓN PÚBLICA","IPB",IF(AV99="INFORMACIÓN PÚBLICA CLASIFICADA","IPC",IF(AV99="INFORMACIÓN PÚBLICA RESERVADA","IPR",IF(AV99="",""))))</f>
        <v>IPB</v>
      </c>
      <c r="AX99" s="80" t="str">
        <f>_xlfn.IFNA(VLOOKUP(AD99,[17]Tipologías!$B$3:$G$17,3,0),"")</f>
        <v>LEY 1712 DE 2014 LEY DE TRANSPARENCIA Y DERECHO DE ACCESO A LA INFORMACIÓN. ARTÍCULO 6 DEFINICIONES LITERAL B.</v>
      </c>
      <c r="AY99" s="80" t="str">
        <f>_xlfn.IFNA(VLOOKUP(AD99,[17]Tipologías!$B$3:$G$17,5,0),"")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99" s="80" t="str">
        <f>_xlfn.IFNA(VLOOKUP(AD99,[17]Tipologías!$B$3:$G$17,6,0),"")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99" s="76" t="s">
        <v>198</v>
      </c>
      <c r="BB99" s="215">
        <v>45197</v>
      </c>
      <c r="BC99" s="76" t="s">
        <v>195</v>
      </c>
      <c r="BD99" s="78" t="s">
        <v>733</v>
      </c>
      <c r="BE99" s="78" t="s">
        <v>734</v>
      </c>
      <c r="BF99" s="45"/>
      <c r="BG99" s="45"/>
      <c r="BH99" s="45"/>
      <c r="BI99" s="45"/>
      <c r="BJ99" s="45"/>
      <c r="BK99" s="45"/>
      <c r="BL99" s="45"/>
      <c r="BM99" s="45"/>
      <c r="BN99" s="45"/>
      <c r="BO99" s="45"/>
      <c r="BP99" s="45"/>
      <c r="BQ99" s="45"/>
      <c r="BR99" s="45"/>
      <c r="BS99" s="45"/>
      <c r="BT99" s="45"/>
      <c r="BU99" s="45"/>
      <c r="BV99" s="45"/>
      <c r="BW99" s="45"/>
      <c r="BX99" s="45"/>
    </row>
    <row r="100" spans="1:76" s="67" customFormat="1" ht="206.45" customHeight="1" x14ac:dyDescent="0.2">
      <c r="A100" s="76">
        <v>91</v>
      </c>
      <c r="B100" s="74" t="s">
        <v>55</v>
      </c>
      <c r="C100" s="74" t="s">
        <v>296</v>
      </c>
      <c r="D100" s="100" t="s">
        <v>281</v>
      </c>
      <c r="E100" s="100" t="s">
        <v>735</v>
      </c>
      <c r="F100" s="75" t="s">
        <v>736</v>
      </c>
      <c r="G100" s="74" t="s">
        <v>205</v>
      </c>
      <c r="H100" s="75" t="s">
        <v>730</v>
      </c>
      <c r="I100" s="75" t="s">
        <v>730</v>
      </c>
      <c r="J100" s="107" t="s">
        <v>336</v>
      </c>
      <c r="K100" s="100" t="s">
        <v>320</v>
      </c>
      <c r="L100" s="75" t="s">
        <v>321</v>
      </c>
      <c r="M100" s="75" t="s">
        <v>195</v>
      </c>
      <c r="N100" s="75" t="s">
        <v>731</v>
      </c>
      <c r="O100" s="75" t="s">
        <v>151</v>
      </c>
      <c r="P100" s="100" t="s">
        <v>339</v>
      </c>
      <c r="Q100" s="76" t="s">
        <v>325</v>
      </c>
      <c r="R100" s="76" t="s">
        <v>325</v>
      </c>
      <c r="S100" s="100" t="s">
        <v>724</v>
      </c>
      <c r="T100" s="100" t="s">
        <v>737</v>
      </c>
      <c r="U100" s="77" t="s">
        <v>328</v>
      </c>
      <c r="V100" s="77" t="s">
        <v>328</v>
      </c>
      <c r="W100" s="77" t="s">
        <v>329</v>
      </c>
      <c r="X100" s="77" t="s">
        <v>329</v>
      </c>
      <c r="Y100" s="77" t="s">
        <v>329</v>
      </c>
      <c r="Z100" s="77" t="s">
        <v>329</v>
      </c>
      <c r="AA100" s="77" t="s">
        <v>195</v>
      </c>
      <c r="AB100" s="77" t="s">
        <v>329</v>
      </c>
      <c r="AC100" s="79" t="s">
        <v>195</v>
      </c>
      <c r="AD100" s="78" t="s">
        <v>89</v>
      </c>
      <c r="AE100" s="78" t="s">
        <v>132</v>
      </c>
      <c r="AF100" s="136" t="str">
        <f t="shared" si="80"/>
        <v>MEDIO</v>
      </c>
      <c r="AG100" s="78" t="s">
        <v>104</v>
      </c>
      <c r="AH100" s="136" t="str">
        <f t="shared" si="81"/>
        <v>ALTO</v>
      </c>
      <c r="AI100" s="78" t="s">
        <v>111</v>
      </c>
      <c r="AJ100" s="78" t="s">
        <v>121</v>
      </c>
      <c r="AK100" s="136" t="str">
        <f t="shared" si="82"/>
        <v>BAJO</v>
      </c>
      <c r="AL100" s="80" t="str">
        <f>VLOOKUP($AD100,[17]Tipologías!$B$3:$G$17,2,FALSE)</f>
        <v>BAJO</v>
      </c>
      <c r="AM100" s="80">
        <f t="shared" si="52"/>
        <v>1</v>
      </c>
      <c r="AN100" s="80" t="str">
        <f>VLOOKUP($AE100,[17]Tipologías!$A$21:$C$24,3,FALSE)</f>
        <v>MEDIO</v>
      </c>
      <c r="AO100" s="80">
        <f t="shared" si="53"/>
        <v>2</v>
      </c>
      <c r="AP100" s="80">
        <f>VLOOKUP($AI100,[17]Tipologías!$A$38:$B$42,2,FALSE)</f>
        <v>0.5</v>
      </c>
      <c r="AQ100" s="80">
        <f>VLOOKUP($AJ100,[17]Tipologías!$A$46:$B$53,2,FALSE)</f>
        <v>1.25</v>
      </c>
      <c r="AR100" s="80" t="str">
        <f t="shared" ref="AR100" si="83">IF(MAX(AM100,AO100)=3,"ALTO",IF(MAX(AM100,AO100)=2,"MEDIO",IF(MAX(AM100,AO100)=1,"BAJO","  ")))</f>
        <v>MEDIO</v>
      </c>
      <c r="AS100" s="80" t="str">
        <f>VLOOKUP($AG100,[17]Tipologías!$A$29:$C$33,3,FALSE)</f>
        <v>ALTO</v>
      </c>
      <c r="AT100" s="80" t="str">
        <f t="shared" ref="AT100" si="84">IF(SUM($AP100,$AQ100)&gt;=3,"ALTO",IF(SUM($AP100,$AQ100)&lt;2,"BAJO","MEDIO"))</f>
        <v>BAJO</v>
      </c>
      <c r="AU100" s="80" t="str">
        <f t="shared" ref="AU100" si="85">_xlfn.IFNA(IF(AND(AR100="BAJO",AS100="BAJO",AT100="BAJO"),"BAJO",IF(AND(AR100="ALTO",AS100="ALTO",AT100="ALTO"),"ALTO",IF(COUNTIF(AR100:AT100,"ALTO")=2,"ALTO","MEDIO")))," ")</f>
        <v>MEDIO</v>
      </c>
      <c r="AV100" s="80" t="str">
        <f>_xlfn.IFNA(VLOOKUP(AD100,[17]Tipologías!$B$3:$G$17,4,0),"")</f>
        <v>INFORMACIÓN PÚBLICA</v>
      </c>
      <c r="AW100" s="80" t="str">
        <f t="shared" ref="AW100" si="86">IF(AV100="INFORMACIÓN PÚBLICA","IPB",IF(AV100="INFORMACIÓN PÚBLICA CLASIFICADA","IPC",IF(AV100="INFORMACIÓN PÚBLICA RESERVADA","IPR",IF(AV100="",""))))</f>
        <v>IPB</v>
      </c>
      <c r="AX100" s="80" t="str">
        <f>_xlfn.IFNA(VLOOKUP(AD100,[17]Tipologías!$B$3:$G$17,3,0),"")</f>
        <v>LEY 1712 DE 2014 LEY DE TRANSPARENCIA Y DERECHO DE ACCESO A LA INFORMACIÓN. ARTÍCULO 6 DEFINICIONES LITERAL B.</v>
      </c>
      <c r="AY100" s="80" t="str">
        <f>_xlfn.IFNA(VLOOKUP(AD100,[17]Tipologías!$B$3:$G$17,5,0),"")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0" s="80" t="str">
        <f>_xlfn.IFNA(VLOOKUP(AD100,[17]Tipologías!$B$3:$G$17,6,0),"")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0" s="76" t="s">
        <v>198</v>
      </c>
      <c r="BB100" s="215">
        <v>45197</v>
      </c>
      <c r="BC100" s="76" t="s">
        <v>195</v>
      </c>
      <c r="BD100" s="78" t="s">
        <v>733</v>
      </c>
      <c r="BE100" s="78" t="s">
        <v>734</v>
      </c>
      <c r="BF100" s="45"/>
      <c r="BG100" s="45"/>
      <c r="BH100" s="45"/>
      <c r="BI100" s="45"/>
      <c r="BJ100" s="45"/>
      <c r="BK100" s="45"/>
      <c r="BL100" s="45"/>
      <c r="BM100" s="45"/>
      <c r="BN100" s="45"/>
      <c r="BO100" s="45"/>
      <c r="BP100" s="45"/>
      <c r="BQ100" s="45"/>
      <c r="BR100" s="45"/>
      <c r="BS100" s="45"/>
      <c r="BT100" s="45"/>
      <c r="BU100" s="45"/>
      <c r="BV100" s="45"/>
      <c r="BW100" s="45"/>
      <c r="BX100" s="45"/>
    </row>
    <row r="101" spans="1:76" s="67" customFormat="1" ht="207.2" customHeight="1" x14ac:dyDescent="0.2">
      <c r="A101" s="76">
        <v>92</v>
      </c>
      <c r="B101" s="183" t="s">
        <v>59</v>
      </c>
      <c r="C101" s="183" t="s">
        <v>304</v>
      </c>
      <c r="D101" s="209" t="s">
        <v>273</v>
      </c>
      <c r="E101" s="209" t="s">
        <v>738</v>
      </c>
      <c r="F101" s="184" t="s">
        <v>739</v>
      </c>
      <c r="G101" s="185" t="s">
        <v>205</v>
      </c>
      <c r="H101" s="184" t="s">
        <v>740</v>
      </c>
      <c r="I101" s="184" t="s">
        <v>741</v>
      </c>
      <c r="J101" s="192" t="s">
        <v>336</v>
      </c>
      <c r="K101" s="209" t="s">
        <v>320</v>
      </c>
      <c r="L101" s="184" t="s">
        <v>362</v>
      </c>
      <c r="M101" s="184" t="s">
        <v>195</v>
      </c>
      <c r="N101" s="184" t="s">
        <v>742</v>
      </c>
      <c r="O101" s="184" t="s">
        <v>146</v>
      </c>
      <c r="P101" s="209" t="s">
        <v>743</v>
      </c>
      <c r="Q101" s="186"/>
      <c r="R101" s="187" t="s">
        <v>325</v>
      </c>
      <c r="S101" s="188" t="s">
        <v>195</v>
      </c>
      <c r="T101" s="188" t="s">
        <v>195</v>
      </c>
      <c r="U101" s="189" t="s">
        <v>328</v>
      </c>
      <c r="V101" s="189" t="s">
        <v>328</v>
      </c>
      <c r="W101" s="189" t="s">
        <v>328</v>
      </c>
      <c r="X101" s="189" t="s">
        <v>329</v>
      </c>
      <c r="Y101" s="189" t="s">
        <v>328</v>
      </c>
      <c r="Z101" s="189" t="s">
        <v>329</v>
      </c>
      <c r="AA101" s="189" t="s">
        <v>328</v>
      </c>
      <c r="AB101" s="189" t="s">
        <v>328</v>
      </c>
      <c r="AC101" s="190" t="s">
        <v>195</v>
      </c>
      <c r="AD101" s="191" t="s">
        <v>217</v>
      </c>
      <c r="AE101" s="191" t="s">
        <v>136</v>
      </c>
      <c r="AF101" s="189" t="s">
        <v>92</v>
      </c>
      <c r="AG101" s="191" t="s">
        <v>104</v>
      </c>
      <c r="AH101" s="189" t="str">
        <f t="shared" ref="AH101:AH106" si="87">_xlfn.IFNA((AS101),"")</f>
        <v>ALTO</v>
      </c>
      <c r="AI101" s="191" t="s">
        <v>111</v>
      </c>
      <c r="AJ101" s="191" t="s">
        <v>121</v>
      </c>
      <c r="AK101" s="189" t="str">
        <f t="shared" ref="AK101:AK106" si="88">_xlfn.IFNA((AT101),"")</f>
        <v>BAJO</v>
      </c>
      <c r="AL101" s="192" t="str">
        <f>VLOOKUP($AD101,[18]Tipologías!$B$3:$G$17,2,FALSE)</f>
        <v>ALTO</v>
      </c>
      <c r="AM101" s="192">
        <f t="shared" si="52"/>
        <v>3</v>
      </c>
      <c r="AN101" s="192" t="str">
        <f>VLOOKUP($AE101,[18]Tipologías!$A$21:$C$24,3,FALSE)</f>
        <v>ALTO</v>
      </c>
      <c r="AO101" s="192">
        <f t="shared" si="53"/>
        <v>3</v>
      </c>
      <c r="AP101" s="192">
        <f>VLOOKUP($AI101,[18]Tipologías!$A$38:$B$42,2,FALSE)</f>
        <v>0.5</v>
      </c>
      <c r="AQ101" s="192">
        <f>VLOOKUP($AJ101,[18]Tipologías!$A$46:$B$53,2,FALSE)</f>
        <v>1.25</v>
      </c>
      <c r="AR101" s="192" t="str">
        <f t="shared" ref="AR101:AR110" si="89">IF(MAX(AM101,AO101)=3,"ALTO",IF(MAX(AM101,AO101)=2,"MEDIO",IF(MAX(AM101,AO101)=1,"BAJO","  ")))</f>
        <v>ALTO</v>
      </c>
      <c r="AS101" s="192" t="str">
        <f>VLOOKUP($AG101,[18]Tipologías!$A$29:$C$33,3,FALSE)</f>
        <v>ALTO</v>
      </c>
      <c r="AT101" s="192" t="str">
        <f t="shared" ref="AT101:AT110" si="90">IF(SUM($AP101,$AQ101)&gt;=3,"ALTO",IF(SUM($AP101,$AQ101)&lt;2,"BAJO","MEDIO"))</f>
        <v>BAJO</v>
      </c>
      <c r="AU101" s="192" t="str">
        <f t="shared" ref="AU101:AU108" si="91">_xlfn.IFNA(IF(AND(AR101="BAJO",AS101="BAJO",AT101="BAJO"),"BAJO",IF(AND(AR101="ALTO",AS101="ALTO",AT101="ALTO"),"ALTO",IF(COUNTIF(AR101:AT101,"ALTO")=2,"ALTO","MEDIO")))," ")</f>
        <v>ALTO</v>
      </c>
      <c r="AV101" s="192" t="str">
        <f>_xlfn.IFNA(VLOOKUP(AD101,[18]Tipologías!$B$3:$G$17,4,0),"")</f>
        <v>INFORMACIÓN PÚBLICA RESERVADA</v>
      </c>
      <c r="AW101" s="192" t="str">
        <f t="shared" ref="AW101:AW110" si="92">IF(AV101="INFORMACIÓN PÚBLICA","IPB",IF(AV101="INFORMACIÓN PÚBLICA CLASIFICADA","IPC",IF(AV101="INFORMACIÓN PÚBLICA RESERVADA","IPR",IF(AV101="",""))))</f>
        <v>IPR</v>
      </c>
      <c r="AX101" s="192" t="str">
        <f>_xlfn.IFNA(VLOOKUP(AD101,[18]Tipologías!$B$3:$G$17,3,0),"")</f>
        <v>LEY 1712   DE 2014  ARTÍCULO 19 LITERAL I "LA SALUD PÚBLICA."</v>
      </c>
      <c r="AY101" s="192" t="str">
        <f>_xlfn.IFNA(VLOOKUP(AD101,[18]Tipologías!$B$3:$G$17,5,0),"")</f>
        <v>LEY 1712   DE 2014  ARTÍCULO 19 LITERAL I "LA SALUD PÚBLICA."</v>
      </c>
      <c r="AZ101" s="192" t="str">
        <f>_xlfn.IFNA(VLOOKUP(AD101,[18]Tipologías!$B$3:$G$17,6,0),"")</f>
        <v xml:space="preserve">LEY 1712 DE 2014 ARTÍCULO 19  </v>
      </c>
      <c r="BA101" s="187" t="s">
        <v>197</v>
      </c>
      <c r="BB101" s="216" t="s">
        <v>744</v>
      </c>
      <c r="BC101" s="187" t="s">
        <v>201</v>
      </c>
      <c r="BD101" s="191" t="s">
        <v>745</v>
      </c>
      <c r="BE101" s="191" t="s">
        <v>746</v>
      </c>
      <c r="BF101" s="45"/>
      <c r="BG101" s="45"/>
      <c r="BH101" s="45"/>
      <c r="BI101" s="45"/>
      <c r="BJ101" s="45"/>
      <c r="BK101" s="45"/>
      <c r="BL101" s="45"/>
      <c r="BM101" s="45"/>
      <c r="BN101" s="45"/>
      <c r="BO101" s="45"/>
      <c r="BP101" s="45"/>
      <c r="BQ101" s="45"/>
      <c r="BR101" s="45"/>
      <c r="BS101" s="45"/>
      <c r="BT101" s="45"/>
      <c r="BU101" s="45"/>
      <c r="BV101" s="45"/>
      <c r="BW101" s="45"/>
      <c r="BX101" s="45"/>
    </row>
    <row r="102" spans="1:76" s="67" customFormat="1" ht="207.2" customHeight="1" x14ac:dyDescent="0.2">
      <c r="A102" s="76">
        <v>93</v>
      </c>
      <c r="B102" s="183" t="s">
        <v>59</v>
      </c>
      <c r="C102" s="183" t="s">
        <v>304</v>
      </c>
      <c r="D102" s="209" t="s">
        <v>273</v>
      </c>
      <c r="E102" s="209" t="s">
        <v>747</v>
      </c>
      <c r="F102" s="193" t="s">
        <v>748</v>
      </c>
      <c r="G102" s="183" t="s">
        <v>174</v>
      </c>
      <c r="H102" s="184" t="s">
        <v>740</v>
      </c>
      <c r="I102" s="184" t="s">
        <v>749</v>
      </c>
      <c r="J102" s="207" t="s">
        <v>319</v>
      </c>
      <c r="K102" s="209" t="s">
        <v>320</v>
      </c>
      <c r="L102" s="184" t="s">
        <v>321</v>
      </c>
      <c r="M102" s="184" t="s">
        <v>750</v>
      </c>
      <c r="N102" s="194" t="s">
        <v>751</v>
      </c>
      <c r="O102" s="184" t="s">
        <v>151</v>
      </c>
      <c r="P102" s="209" t="s">
        <v>752</v>
      </c>
      <c r="Q102" s="187" t="s">
        <v>325</v>
      </c>
      <c r="R102" s="187" t="s">
        <v>325</v>
      </c>
      <c r="S102" s="188" t="s">
        <v>195</v>
      </c>
      <c r="T102" s="188" t="s">
        <v>195</v>
      </c>
      <c r="U102" s="189" t="s">
        <v>328</v>
      </c>
      <c r="V102" s="189" t="s">
        <v>328</v>
      </c>
      <c r="W102" s="189" t="s">
        <v>328</v>
      </c>
      <c r="X102" s="189" t="s">
        <v>329</v>
      </c>
      <c r="Y102" s="189" t="s">
        <v>328</v>
      </c>
      <c r="Z102" s="189" t="s">
        <v>329</v>
      </c>
      <c r="AA102" s="192" t="s">
        <v>328</v>
      </c>
      <c r="AB102" s="192" t="s">
        <v>328</v>
      </c>
      <c r="AC102" s="190" t="s">
        <v>195</v>
      </c>
      <c r="AD102" s="191" t="s">
        <v>208</v>
      </c>
      <c r="AE102" s="191" t="s">
        <v>132</v>
      </c>
      <c r="AF102" s="189" t="s">
        <v>92</v>
      </c>
      <c r="AG102" s="191" t="s">
        <v>104</v>
      </c>
      <c r="AH102" s="189" t="str">
        <f t="shared" si="87"/>
        <v>ALTO</v>
      </c>
      <c r="AI102" s="191" t="s">
        <v>113</v>
      </c>
      <c r="AJ102" s="191" t="s">
        <v>122</v>
      </c>
      <c r="AK102" s="189" t="str">
        <f t="shared" si="88"/>
        <v>MEDIO</v>
      </c>
      <c r="AL102" s="192" t="str">
        <f>VLOOKUP($AD102,[18]Tipologías!$B$3:$G$17,2,FALSE)</f>
        <v>ALTO</v>
      </c>
      <c r="AM102" s="192">
        <f t="shared" si="52"/>
        <v>3</v>
      </c>
      <c r="AN102" s="192" t="str">
        <f>VLOOKUP($AE102,[18]Tipologías!$A$21:$C$24,3,FALSE)</f>
        <v>MEDIO</v>
      </c>
      <c r="AO102" s="192">
        <f t="shared" si="53"/>
        <v>2</v>
      </c>
      <c r="AP102" s="192">
        <f>VLOOKUP($AI102,[18]Tipologías!$A$38:$B$42,2,FALSE)</f>
        <v>1</v>
      </c>
      <c r="AQ102" s="192">
        <f>VLOOKUP($AJ102,[18]Tipologías!$A$46:$B$53,2,FALSE)</f>
        <v>1</v>
      </c>
      <c r="AR102" s="192" t="str">
        <f t="shared" si="89"/>
        <v>ALTO</v>
      </c>
      <c r="AS102" s="192" t="str">
        <f>VLOOKUP($AG102,[18]Tipologías!$A$29:$C$33,3,FALSE)</f>
        <v>ALTO</v>
      </c>
      <c r="AT102" s="192" t="str">
        <f t="shared" si="90"/>
        <v>MEDIO</v>
      </c>
      <c r="AU102" s="192" t="str">
        <f t="shared" si="91"/>
        <v>ALTO</v>
      </c>
      <c r="AV102" s="192" t="str">
        <f>_xlfn.IFNA(VLOOKUP(AD102,[18]Tipologías!$B$3:$G$17,4,0),"")</f>
        <v>INFORMACIÓN PÚBLICA CLASIFICADA</v>
      </c>
      <c r="AW102" s="192" t="str">
        <f t="shared" si="92"/>
        <v>IPC</v>
      </c>
      <c r="AX102" s="192" t="str">
        <f>_xlfn.IFNA(VLOOKUP(AD102,[18]Tipologías!$B$3:$G$17,3,0),"")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02" s="192" t="str">
        <f>_xlfn.IFNA(VLOOKUP(AD102,[18]Tipologías!$B$3:$G$17,5,0),"")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02" s="192" t="str">
        <f>_xlfn.IFNA(VLOOKUP(AD102,[18]Tipologías!$B$3:$G$17,6,0),"")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02" s="187" t="s">
        <v>197</v>
      </c>
      <c r="BB102" s="216">
        <v>45119</v>
      </c>
      <c r="BC102" s="187" t="s">
        <v>201</v>
      </c>
      <c r="BD102" s="191" t="s">
        <v>745</v>
      </c>
      <c r="BE102" s="191" t="s">
        <v>746</v>
      </c>
      <c r="BF102" s="45"/>
      <c r="BG102" s="45"/>
      <c r="BH102" s="45"/>
      <c r="BI102" s="45"/>
      <c r="BJ102" s="45"/>
      <c r="BK102" s="45"/>
      <c r="BL102" s="45"/>
      <c r="BM102" s="45"/>
      <c r="BN102" s="45"/>
      <c r="BO102" s="45"/>
      <c r="BP102" s="45"/>
      <c r="BQ102" s="45"/>
      <c r="BR102" s="45"/>
      <c r="BS102" s="45"/>
      <c r="BT102" s="45"/>
      <c r="BU102" s="45"/>
      <c r="BV102" s="45"/>
      <c r="BW102" s="45"/>
      <c r="BX102" s="45"/>
    </row>
    <row r="103" spans="1:76" s="67" customFormat="1" ht="207.2" customHeight="1" x14ac:dyDescent="0.2">
      <c r="A103" s="76">
        <v>94</v>
      </c>
      <c r="B103" s="183" t="s">
        <v>59</v>
      </c>
      <c r="C103" s="183" t="s">
        <v>304</v>
      </c>
      <c r="D103" s="209" t="s">
        <v>273</v>
      </c>
      <c r="E103" s="209" t="s">
        <v>753</v>
      </c>
      <c r="F103" s="184" t="s">
        <v>754</v>
      </c>
      <c r="G103" s="183" t="s">
        <v>140</v>
      </c>
      <c r="H103" s="184" t="s">
        <v>740</v>
      </c>
      <c r="I103" s="184" t="s">
        <v>740</v>
      </c>
      <c r="J103" s="207" t="s">
        <v>336</v>
      </c>
      <c r="K103" s="209" t="s">
        <v>320</v>
      </c>
      <c r="L103" s="184" t="s">
        <v>321</v>
      </c>
      <c r="M103" s="184" t="s">
        <v>755</v>
      </c>
      <c r="N103" s="184" t="s">
        <v>756</v>
      </c>
      <c r="O103" s="184" t="s">
        <v>151</v>
      </c>
      <c r="P103" s="209" t="s">
        <v>757</v>
      </c>
      <c r="Q103" s="187" t="s">
        <v>325</v>
      </c>
      <c r="R103" s="187"/>
      <c r="S103" s="209" t="s">
        <v>195</v>
      </c>
      <c r="T103" s="209" t="s">
        <v>195</v>
      </c>
      <c r="U103" s="189" t="s">
        <v>328</v>
      </c>
      <c r="V103" s="189" t="s">
        <v>328</v>
      </c>
      <c r="W103" s="189" t="s">
        <v>328</v>
      </c>
      <c r="X103" s="189" t="s">
        <v>329</v>
      </c>
      <c r="Y103" s="189" t="s">
        <v>328</v>
      </c>
      <c r="Z103" s="189" t="s">
        <v>329</v>
      </c>
      <c r="AA103" s="189" t="s">
        <v>195</v>
      </c>
      <c r="AB103" s="189" t="s">
        <v>195</v>
      </c>
      <c r="AC103" s="190" t="s">
        <v>195</v>
      </c>
      <c r="AD103" s="191" t="s">
        <v>208</v>
      </c>
      <c r="AE103" s="191" t="s">
        <v>132</v>
      </c>
      <c r="AF103" s="189" t="s">
        <v>92</v>
      </c>
      <c r="AG103" s="191" t="s">
        <v>104</v>
      </c>
      <c r="AH103" s="189" t="str">
        <f t="shared" si="87"/>
        <v>ALTO</v>
      </c>
      <c r="AI103" s="191" t="s">
        <v>111</v>
      </c>
      <c r="AJ103" s="191" t="s">
        <v>119</v>
      </c>
      <c r="AK103" s="189" t="str">
        <f t="shared" si="88"/>
        <v>MEDIO</v>
      </c>
      <c r="AL103" s="192" t="str">
        <f>VLOOKUP($AD103,[18]Tipologías!$B$3:$G$17,2,FALSE)</f>
        <v>ALTO</v>
      </c>
      <c r="AM103" s="192">
        <f t="shared" si="52"/>
        <v>3</v>
      </c>
      <c r="AN103" s="192" t="str">
        <f>VLOOKUP($AE103,[18]Tipologías!$A$21:$C$24,3,FALSE)</f>
        <v>MEDIO</v>
      </c>
      <c r="AO103" s="192">
        <f t="shared" si="53"/>
        <v>2</v>
      </c>
      <c r="AP103" s="192">
        <f>VLOOKUP($AI103,[18]Tipologías!$A$38:$B$42,2,FALSE)</f>
        <v>0.5</v>
      </c>
      <c r="AQ103" s="192">
        <f>VLOOKUP($AJ103,[18]Tipologías!$A$46:$B$53,2,FALSE)</f>
        <v>2</v>
      </c>
      <c r="AR103" s="192" t="str">
        <f t="shared" si="89"/>
        <v>ALTO</v>
      </c>
      <c r="AS103" s="192" t="str">
        <f>VLOOKUP($AG103,[18]Tipologías!$A$29:$C$33,3,FALSE)</f>
        <v>ALTO</v>
      </c>
      <c r="AT103" s="192" t="str">
        <f t="shared" si="90"/>
        <v>MEDIO</v>
      </c>
      <c r="AU103" s="192" t="str">
        <f t="shared" si="91"/>
        <v>ALTO</v>
      </c>
      <c r="AV103" s="192" t="str">
        <f>_xlfn.IFNA(VLOOKUP(AD103,[18]Tipologías!$B$3:$G$17,4,0),"")</f>
        <v>INFORMACIÓN PÚBLICA CLASIFICADA</v>
      </c>
      <c r="AW103" s="192" t="str">
        <f t="shared" si="92"/>
        <v>IPC</v>
      </c>
      <c r="AX103" s="192" t="str">
        <f>_xlfn.IFNA(VLOOKUP(AD103,[18]Tipologías!$B$3:$G$17,3,0),"")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03" s="192" t="str">
        <f>_xlfn.IFNA(VLOOKUP(AD103,[18]Tipologías!$B$3:$G$17,5,0),"")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03" s="192" t="str">
        <f>_xlfn.IFNA(VLOOKUP(AD103,[18]Tipologías!$B$3:$G$17,6,0),"")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03" s="187" t="s">
        <v>196</v>
      </c>
      <c r="BB103" s="216">
        <v>45119</v>
      </c>
      <c r="BC103" s="187" t="s">
        <v>201</v>
      </c>
      <c r="BD103" s="191" t="s">
        <v>745</v>
      </c>
      <c r="BE103" s="191" t="s">
        <v>746</v>
      </c>
      <c r="BF103" s="45"/>
      <c r="BG103" s="45"/>
      <c r="BH103" s="45"/>
      <c r="BI103" s="45"/>
      <c r="BJ103" s="45"/>
      <c r="BK103" s="45"/>
      <c r="BL103" s="45"/>
      <c r="BM103" s="45"/>
      <c r="BN103" s="45"/>
      <c r="BO103" s="45"/>
      <c r="BP103" s="45"/>
      <c r="BQ103" s="45"/>
      <c r="BR103" s="45"/>
      <c r="BS103" s="45"/>
      <c r="BT103" s="45"/>
      <c r="BU103" s="45"/>
      <c r="BV103" s="45"/>
      <c r="BW103" s="45"/>
      <c r="BX103" s="45"/>
    </row>
    <row r="104" spans="1:76" s="67" customFormat="1" ht="207.2" customHeight="1" x14ac:dyDescent="0.2">
      <c r="A104" s="76">
        <v>95</v>
      </c>
      <c r="B104" s="183" t="s">
        <v>59</v>
      </c>
      <c r="C104" s="183" t="s">
        <v>304</v>
      </c>
      <c r="D104" s="209" t="s">
        <v>273</v>
      </c>
      <c r="E104" s="209" t="s">
        <v>758</v>
      </c>
      <c r="F104" s="185" t="s">
        <v>759</v>
      </c>
      <c r="G104" s="183" t="s">
        <v>205</v>
      </c>
      <c r="H104" s="184" t="s">
        <v>740</v>
      </c>
      <c r="I104" s="194" t="s">
        <v>760</v>
      </c>
      <c r="J104" s="207" t="s">
        <v>336</v>
      </c>
      <c r="K104" s="209" t="s">
        <v>320</v>
      </c>
      <c r="L104" s="184" t="s">
        <v>362</v>
      </c>
      <c r="M104" s="184" t="s">
        <v>195</v>
      </c>
      <c r="N104" s="184" t="s">
        <v>761</v>
      </c>
      <c r="O104" s="184" t="s">
        <v>151</v>
      </c>
      <c r="P104" s="209" t="s">
        <v>762</v>
      </c>
      <c r="Q104" s="187"/>
      <c r="R104" s="187" t="s">
        <v>325</v>
      </c>
      <c r="S104" s="188" t="s">
        <v>195</v>
      </c>
      <c r="T104" s="188" t="s">
        <v>195</v>
      </c>
      <c r="U104" s="189" t="s">
        <v>328</v>
      </c>
      <c r="V104" s="189" t="s">
        <v>329</v>
      </c>
      <c r="W104" s="189" t="s">
        <v>329</v>
      </c>
      <c r="X104" s="189" t="s">
        <v>329</v>
      </c>
      <c r="Y104" s="195" t="s">
        <v>329</v>
      </c>
      <c r="Z104" s="189" t="s">
        <v>329</v>
      </c>
      <c r="AA104" s="195" t="s">
        <v>328</v>
      </c>
      <c r="AB104" s="195" t="s">
        <v>328</v>
      </c>
      <c r="AC104" s="190" t="s">
        <v>195</v>
      </c>
      <c r="AD104" s="191" t="s">
        <v>89</v>
      </c>
      <c r="AE104" s="191" t="s">
        <v>130</v>
      </c>
      <c r="AF104" s="189" t="s">
        <v>90</v>
      </c>
      <c r="AG104" s="191" t="s">
        <v>101</v>
      </c>
      <c r="AH104" s="189" t="str">
        <f t="shared" si="87"/>
        <v>BAJO</v>
      </c>
      <c r="AI104" s="191" t="s">
        <v>114</v>
      </c>
      <c r="AJ104" s="191" t="s">
        <v>121</v>
      </c>
      <c r="AK104" s="189" t="str">
        <f t="shared" si="88"/>
        <v>MEDIO</v>
      </c>
      <c r="AL104" s="192" t="str">
        <f>VLOOKUP($AD104,[18]Tipologías!$B$3:$G$17,2,FALSE)</f>
        <v>BAJO</v>
      </c>
      <c r="AM104" s="192">
        <f t="shared" si="52"/>
        <v>1</v>
      </c>
      <c r="AN104" s="192" t="str">
        <f>VLOOKUP($AE104,[18]Tipologías!$A$21:$C$24,3,FALSE)</f>
        <v>BAJO</v>
      </c>
      <c r="AO104" s="192">
        <f t="shared" si="53"/>
        <v>1</v>
      </c>
      <c r="AP104" s="192">
        <f>VLOOKUP($AI104,[18]Tipologías!$A$38:$B$42,2,FALSE)</f>
        <v>1.5</v>
      </c>
      <c r="AQ104" s="192">
        <f>VLOOKUP($AJ104,[18]Tipologías!$A$46:$B$53,2,FALSE)</f>
        <v>1.25</v>
      </c>
      <c r="AR104" s="192" t="str">
        <f t="shared" si="89"/>
        <v>BAJO</v>
      </c>
      <c r="AS104" s="192" t="str">
        <f>VLOOKUP($AG104,[18]Tipologías!$A$29:$C$33,3,FALSE)</f>
        <v>BAJO</v>
      </c>
      <c r="AT104" s="192" t="str">
        <f t="shared" si="90"/>
        <v>MEDIO</v>
      </c>
      <c r="AU104" s="192" t="str">
        <f t="shared" si="91"/>
        <v>MEDIO</v>
      </c>
      <c r="AV104" s="192" t="str">
        <f>_xlfn.IFNA(VLOOKUP(AD104,[18]Tipologías!$B$3:$G$17,4,0),"")</f>
        <v>INFORMACIÓN PÚBLICA</v>
      </c>
      <c r="AW104" s="192" t="str">
        <f t="shared" si="92"/>
        <v>IPB</v>
      </c>
      <c r="AX104" s="192" t="str">
        <f>_xlfn.IFNA(VLOOKUP(AD104,[18]Tipologías!$B$3:$G$17,3,0),"")</f>
        <v>LEY 1712 DE 2014 LEY DE TRANSPARENCIA Y DERECHO DE ACCESO A LA INFORMACIÓN. ARTÍCULO 6 DEFINICIONES LITERAL B.</v>
      </c>
      <c r="AY104" s="192" t="str">
        <f>_xlfn.IFNA(VLOOKUP(AD104,[18]Tipologías!$B$3:$G$17,5,0),"")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4" s="192" t="str">
        <f>_xlfn.IFNA(VLOOKUP(AD104,[18]Tipologías!$B$3:$G$17,6,0),"")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4" s="187" t="s">
        <v>198</v>
      </c>
      <c r="BB104" s="216">
        <v>45119</v>
      </c>
      <c r="BC104" s="187" t="s">
        <v>201</v>
      </c>
      <c r="BD104" s="191" t="s">
        <v>763</v>
      </c>
      <c r="BE104" s="191" t="s">
        <v>746</v>
      </c>
      <c r="BF104" s="45"/>
      <c r="BG104" s="45"/>
      <c r="BH104" s="45"/>
      <c r="BI104" s="45"/>
      <c r="BJ104" s="45"/>
      <c r="BK104" s="45"/>
      <c r="BL104" s="45"/>
      <c r="BM104" s="45"/>
      <c r="BN104" s="45"/>
      <c r="BO104" s="45"/>
      <c r="BP104" s="45"/>
      <c r="BQ104" s="45"/>
      <c r="BR104" s="45"/>
      <c r="BS104" s="45"/>
      <c r="BT104" s="45"/>
      <c r="BU104" s="45"/>
      <c r="BV104" s="45"/>
      <c r="BW104" s="45"/>
      <c r="BX104" s="45"/>
    </row>
    <row r="105" spans="1:76" s="67" customFormat="1" ht="207.2" customHeight="1" x14ac:dyDescent="0.2">
      <c r="A105" s="76">
        <v>96</v>
      </c>
      <c r="B105" s="183" t="s">
        <v>59</v>
      </c>
      <c r="C105" s="183" t="s">
        <v>304</v>
      </c>
      <c r="D105" s="209" t="s">
        <v>273</v>
      </c>
      <c r="E105" s="209" t="s">
        <v>764</v>
      </c>
      <c r="F105" s="185" t="s">
        <v>765</v>
      </c>
      <c r="G105" s="183" t="s">
        <v>141</v>
      </c>
      <c r="H105" s="184" t="s">
        <v>740</v>
      </c>
      <c r="I105" s="184" t="s">
        <v>766</v>
      </c>
      <c r="J105" s="207" t="s">
        <v>336</v>
      </c>
      <c r="K105" s="209" t="s">
        <v>320</v>
      </c>
      <c r="L105" s="184" t="s">
        <v>362</v>
      </c>
      <c r="M105" s="184" t="s">
        <v>195</v>
      </c>
      <c r="N105" s="184" t="s">
        <v>767</v>
      </c>
      <c r="O105" s="184" t="s">
        <v>151</v>
      </c>
      <c r="P105" s="209" t="s">
        <v>768</v>
      </c>
      <c r="Q105" s="187"/>
      <c r="R105" s="187" t="s">
        <v>325</v>
      </c>
      <c r="S105" s="209" t="s">
        <v>195</v>
      </c>
      <c r="T105" s="209" t="s">
        <v>195</v>
      </c>
      <c r="U105" s="189" t="s">
        <v>328</v>
      </c>
      <c r="V105" s="189" t="s">
        <v>329</v>
      </c>
      <c r="W105" s="189" t="s">
        <v>329</v>
      </c>
      <c r="X105" s="189" t="s">
        <v>329</v>
      </c>
      <c r="Y105" s="189" t="s">
        <v>328</v>
      </c>
      <c r="Z105" s="189" t="s">
        <v>329</v>
      </c>
      <c r="AA105" s="189" t="s">
        <v>328</v>
      </c>
      <c r="AB105" s="189" t="s">
        <v>328</v>
      </c>
      <c r="AC105" s="190" t="s">
        <v>195</v>
      </c>
      <c r="AD105" s="191" t="s">
        <v>89</v>
      </c>
      <c r="AE105" s="191" t="s">
        <v>130</v>
      </c>
      <c r="AF105" s="189" t="s">
        <v>90</v>
      </c>
      <c r="AG105" s="191" t="s">
        <v>101</v>
      </c>
      <c r="AH105" s="189" t="str">
        <f t="shared" si="87"/>
        <v>BAJO</v>
      </c>
      <c r="AI105" s="191" t="s">
        <v>114</v>
      </c>
      <c r="AJ105" s="191" t="s">
        <v>120</v>
      </c>
      <c r="AK105" s="189" t="str">
        <f t="shared" si="88"/>
        <v>ALTO</v>
      </c>
      <c r="AL105" s="192" t="str">
        <f>VLOOKUP($AD105,[18]Tipologías!$B$3:$G$17,2,FALSE)</f>
        <v>BAJO</v>
      </c>
      <c r="AM105" s="192">
        <f t="shared" si="52"/>
        <v>1</v>
      </c>
      <c r="AN105" s="192" t="str">
        <f>VLOOKUP($AE105,[18]Tipologías!$A$21:$C$24,3,FALSE)</f>
        <v>BAJO</v>
      </c>
      <c r="AO105" s="192">
        <f t="shared" si="53"/>
        <v>1</v>
      </c>
      <c r="AP105" s="192">
        <f>VLOOKUP($AI105,[18]Tipologías!$A$38:$B$42,2,FALSE)</f>
        <v>1.5</v>
      </c>
      <c r="AQ105" s="192">
        <f>VLOOKUP($AJ105,[18]Tipologías!$A$46:$B$53,2,FALSE)</f>
        <v>1.5</v>
      </c>
      <c r="AR105" s="192" t="str">
        <f t="shared" si="89"/>
        <v>BAJO</v>
      </c>
      <c r="AS105" s="192" t="str">
        <f>VLOOKUP($AG105,[18]Tipologías!$A$29:$C$33,3,FALSE)</f>
        <v>BAJO</v>
      </c>
      <c r="AT105" s="192" t="str">
        <f t="shared" si="90"/>
        <v>ALTO</v>
      </c>
      <c r="AU105" s="192" t="str">
        <f t="shared" si="91"/>
        <v>MEDIO</v>
      </c>
      <c r="AV105" s="192" t="str">
        <f>_xlfn.IFNA(VLOOKUP(AD105,[18]Tipologías!$B$3:$G$17,4,0),"")</f>
        <v>INFORMACIÓN PÚBLICA</v>
      </c>
      <c r="AW105" s="192" t="str">
        <f t="shared" si="92"/>
        <v>IPB</v>
      </c>
      <c r="AX105" s="192" t="str">
        <f>_xlfn.IFNA(VLOOKUP(AD105,[18]Tipologías!$B$3:$G$17,3,0),"")</f>
        <v>LEY 1712 DE 2014 LEY DE TRANSPARENCIA Y DERECHO DE ACCESO A LA INFORMACIÓN. ARTÍCULO 6 DEFINICIONES LITERAL B.</v>
      </c>
      <c r="AY105" s="192" t="str">
        <f>_xlfn.IFNA(VLOOKUP(AD105,[18]Tipologías!$B$3:$G$17,5,0),"")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5" s="192" t="str">
        <f>_xlfn.IFNA(VLOOKUP(AD105,[18]Tipologías!$B$3:$G$17,6,0),"")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5" s="187" t="s">
        <v>197</v>
      </c>
      <c r="BB105" s="216">
        <v>45119</v>
      </c>
      <c r="BC105" s="187" t="s">
        <v>201</v>
      </c>
      <c r="BD105" s="191" t="s">
        <v>769</v>
      </c>
      <c r="BE105" s="191" t="s">
        <v>746</v>
      </c>
      <c r="BF105" s="45"/>
      <c r="BG105" s="45"/>
      <c r="BH105" s="45"/>
      <c r="BI105" s="45"/>
      <c r="BJ105" s="45"/>
      <c r="BK105" s="45"/>
      <c r="BL105" s="45"/>
      <c r="BM105" s="45"/>
      <c r="BN105" s="45"/>
      <c r="BO105" s="45"/>
      <c r="BP105" s="45"/>
      <c r="BQ105" s="45"/>
      <c r="BR105" s="45"/>
      <c r="BS105" s="45"/>
      <c r="BT105" s="45"/>
      <c r="BU105" s="45"/>
      <c r="BV105" s="45"/>
      <c r="BW105" s="45"/>
      <c r="BX105" s="45"/>
    </row>
    <row r="106" spans="1:76" s="67" customFormat="1" ht="207.2" customHeight="1" x14ac:dyDescent="0.2">
      <c r="A106" s="76">
        <v>97</v>
      </c>
      <c r="B106" s="183" t="s">
        <v>59</v>
      </c>
      <c r="C106" s="183" t="s">
        <v>304</v>
      </c>
      <c r="D106" s="209" t="s">
        <v>273</v>
      </c>
      <c r="E106" s="209" t="s">
        <v>764</v>
      </c>
      <c r="F106" s="185" t="s">
        <v>770</v>
      </c>
      <c r="G106" s="183" t="s">
        <v>199</v>
      </c>
      <c r="H106" s="184" t="s">
        <v>740</v>
      </c>
      <c r="I106" s="184" t="s">
        <v>766</v>
      </c>
      <c r="J106" s="207" t="s">
        <v>336</v>
      </c>
      <c r="K106" s="209" t="s">
        <v>320</v>
      </c>
      <c r="L106" s="184" t="s">
        <v>362</v>
      </c>
      <c r="M106" s="184" t="s">
        <v>195</v>
      </c>
      <c r="N106" s="184" t="s">
        <v>771</v>
      </c>
      <c r="O106" s="184" t="s">
        <v>151</v>
      </c>
      <c r="P106" s="209" t="s">
        <v>540</v>
      </c>
      <c r="Q106" s="187" t="s">
        <v>325</v>
      </c>
      <c r="R106" s="187" t="s">
        <v>325</v>
      </c>
      <c r="S106" s="209" t="s">
        <v>195</v>
      </c>
      <c r="T106" s="209" t="s">
        <v>195</v>
      </c>
      <c r="U106" s="189" t="s">
        <v>329</v>
      </c>
      <c r="V106" s="189" t="s">
        <v>329</v>
      </c>
      <c r="W106" s="189" t="s">
        <v>329</v>
      </c>
      <c r="X106" s="189" t="s">
        <v>329</v>
      </c>
      <c r="Y106" s="189" t="s">
        <v>329</v>
      </c>
      <c r="Z106" s="189" t="s">
        <v>329</v>
      </c>
      <c r="AA106" s="189" t="s">
        <v>195</v>
      </c>
      <c r="AB106" s="189" t="s">
        <v>195</v>
      </c>
      <c r="AC106" s="190" t="s">
        <v>195</v>
      </c>
      <c r="AD106" s="191" t="s">
        <v>89</v>
      </c>
      <c r="AE106" s="191" t="s">
        <v>130</v>
      </c>
      <c r="AF106" s="189" t="s">
        <v>90</v>
      </c>
      <c r="AG106" s="191" t="s">
        <v>101</v>
      </c>
      <c r="AH106" s="189" t="str">
        <f t="shared" si="87"/>
        <v>BAJO</v>
      </c>
      <c r="AI106" s="191" t="s">
        <v>114</v>
      </c>
      <c r="AJ106" s="191" t="s">
        <v>120</v>
      </c>
      <c r="AK106" s="189" t="str">
        <f t="shared" si="88"/>
        <v>ALTO</v>
      </c>
      <c r="AL106" s="192" t="str">
        <f>VLOOKUP($AD106,[18]Tipologías!$B$3:$G$17,2,FALSE)</f>
        <v>BAJO</v>
      </c>
      <c r="AM106" s="192">
        <f t="shared" si="52"/>
        <v>1</v>
      </c>
      <c r="AN106" s="192" t="str">
        <f>VLOOKUP($AE106,[18]Tipologías!$A$21:$C$24,3,FALSE)</f>
        <v>BAJO</v>
      </c>
      <c r="AO106" s="192">
        <f t="shared" si="53"/>
        <v>1</v>
      </c>
      <c r="AP106" s="192">
        <f>VLOOKUP($AI106,[18]Tipologías!$A$38:$B$42,2,FALSE)</f>
        <v>1.5</v>
      </c>
      <c r="AQ106" s="192">
        <f>VLOOKUP($AJ106,[18]Tipologías!$A$46:$B$53,2,FALSE)</f>
        <v>1.5</v>
      </c>
      <c r="AR106" s="192" t="str">
        <f t="shared" si="89"/>
        <v>BAJO</v>
      </c>
      <c r="AS106" s="192" t="str">
        <f>VLOOKUP($AG106,[18]Tipologías!$A$29:$C$33,3,FALSE)</f>
        <v>BAJO</v>
      </c>
      <c r="AT106" s="192" t="str">
        <f t="shared" si="90"/>
        <v>ALTO</v>
      </c>
      <c r="AU106" s="192" t="str">
        <f t="shared" si="91"/>
        <v>MEDIO</v>
      </c>
      <c r="AV106" s="192" t="str">
        <f>_xlfn.IFNA(VLOOKUP(AD106,[18]Tipologías!$B$3:$G$17,4,0),"")</f>
        <v>INFORMACIÓN PÚBLICA</v>
      </c>
      <c r="AW106" s="192" t="str">
        <f t="shared" si="92"/>
        <v>IPB</v>
      </c>
      <c r="AX106" s="192" t="str">
        <f>_xlfn.IFNA(VLOOKUP(AD106,[18]Tipologías!$B$3:$G$17,3,0),"")</f>
        <v>LEY 1712 DE 2014 LEY DE TRANSPARENCIA Y DERECHO DE ACCESO A LA INFORMACIÓN. ARTÍCULO 6 DEFINICIONES LITERAL B.</v>
      </c>
      <c r="AY106" s="192" t="str">
        <f>_xlfn.IFNA(VLOOKUP(AD106,[18]Tipologías!$B$3:$G$17,5,0),"")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6" s="192" t="str">
        <f>_xlfn.IFNA(VLOOKUP(AD106,[18]Tipologías!$B$3:$G$17,6,0),"")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6" s="187" t="s">
        <v>197</v>
      </c>
      <c r="BB106" s="216">
        <v>45119</v>
      </c>
      <c r="BC106" s="187" t="s">
        <v>201</v>
      </c>
      <c r="BD106" s="191" t="s">
        <v>769</v>
      </c>
      <c r="BE106" s="191" t="s">
        <v>746</v>
      </c>
      <c r="BF106" s="45"/>
      <c r="BG106" s="45"/>
      <c r="BH106" s="45"/>
      <c r="BI106" s="45"/>
      <c r="BJ106" s="45"/>
      <c r="BK106" s="45"/>
      <c r="BL106" s="45"/>
      <c r="BM106" s="45"/>
      <c r="BN106" s="45"/>
      <c r="BO106" s="45"/>
      <c r="BP106" s="45"/>
      <c r="BQ106" s="45"/>
      <c r="BR106" s="45"/>
      <c r="BS106" s="45"/>
      <c r="BT106" s="45"/>
      <c r="BU106" s="45"/>
      <c r="BV106" s="45"/>
      <c r="BW106" s="45"/>
      <c r="BX106" s="45"/>
    </row>
    <row r="107" spans="1:76" s="67" customFormat="1" ht="207.2" customHeight="1" x14ac:dyDescent="0.2">
      <c r="A107" s="76">
        <v>98</v>
      </c>
      <c r="B107" s="183" t="s">
        <v>59</v>
      </c>
      <c r="C107" s="183" t="s">
        <v>304</v>
      </c>
      <c r="D107" s="209" t="s">
        <v>273</v>
      </c>
      <c r="E107" s="209" t="s">
        <v>772</v>
      </c>
      <c r="F107" s="184" t="s">
        <v>773</v>
      </c>
      <c r="G107" s="183" t="s">
        <v>205</v>
      </c>
      <c r="H107" s="184" t="s">
        <v>740</v>
      </c>
      <c r="I107" s="184" t="s">
        <v>740</v>
      </c>
      <c r="J107" s="207" t="s">
        <v>336</v>
      </c>
      <c r="K107" s="209" t="s">
        <v>320</v>
      </c>
      <c r="L107" s="184" t="s">
        <v>321</v>
      </c>
      <c r="M107" s="184" t="s">
        <v>774</v>
      </c>
      <c r="N107" s="184" t="s">
        <v>775</v>
      </c>
      <c r="O107" s="184" t="s">
        <v>151</v>
      </c>
      <c r="P107" s="209" t="s">
        <v>776</v>
      </c>
      <c r="Q107" s="187" t="s">
        <v>325</v>
      </c>
      <c r="R107" s="187" t="s">
        <v>325</v>
      </c>
      <c r="S107" s="209" t="s">
        <v>195</v>
      </c>
      <c r="T107" s="209" t="s">
        <v>195</v>
      </c>
      <c r="U107" s="189" t="s">
        <v>328</v>
      </c>
      <c r="V107" s="189" t="s">
        <v>328</v>
      </c>
      <c r="W107" s="189" t="s">
        <v>329</v>
      </c>
      <c r="X107" s="189" t="s">
        <v>329</v>
      </c>
      <c r="Y107" s="189" t="s">
        <v>329</v>
      </c>
      <c r="Z107" s="189" t="s">
        <v>329</v>
      </c>
      <c r="AA107" s="189" t="s">
        <v>329</v>
      </c>
      <c r="AB107" s="189" t="s">
        <v>329</v>
      </c>
      <c r="AC107" s="191" t="s">
        <v>195</v>
      </c>
      <c r="AD107" s="191" t="s">
        <v>89</v>
      </c>
      <c r="AE107" s="191" t="s">
        <v>132</v>
      </c>
      <c r="AF107" s="189" t="s">
        <v>90</v>
      </c>
      <c r="AG107" s="191" t="s">
        <v>101</v>
      </c>
      <c r="AH107" s="189" t="s">
        <v>90</v>
      </c>
      <c r="AI107" s="191" t="s">
        <v>113</v>
      </c>
      <c r="AJ107" s="191" t="s">
        <v>124</v>
      </c>
      <c r="AK107" s="189" t="s">
        <v>92</v>
      </c>
      <c r="AL107" s="192" t="str">
        <f>VLOOKUP($AD107,[18]Tipologías!$B$3:$G$17,2,FALSE)</f>
        <v>BAJO</v>
      </c>
      <c r="AM107" s="192">
        <f t="shared" si="52"/>
        <v>1</v>
      </c>
      <c r="AN107" s="192" t="str">
        <f>VLOOKUP($AE107,[18]Tipologías!$A$21:$C$24,3,FALSE)</f>
        <v>MEDIO</v>
      </c>
      <c r="AO107" s="192">
        <f t="shared" si="53"/>
        <v>2</v>
      </c>
      <c r="AP107" s="192">
        <f>VLOOKUP($AI107,[18]Tipologías!$A$38:$B$42,2,FALSE)</f>
        <v>1</v>
      </c>
      <c r="AQ107" s="192">
        <f>VLOOKUP($AJ107,[18]Tipologías!$A$46:$B$53,2,FALSE)</f>
        <v>0.25</v>
      </c>
      <c r="AR107" s="192" t="str">
        <f t="shared" si="89"/>
        <v>MEDIO</v>
      </c>
      <c r="AS107" s="192" t="str">
        <f>VLOOKUP($AG107,[18]Tipologías!$A$29:$C$33,3,FALSE)</f>
        <v>BAJO</v>
      </c>
      <c r="AT107" s="192" t="str">
        <f t="shared" si="90"/>
        <v>BAJO</v>
      </c>
      <c r="AU107" s="192" t="str">
        <f t="shared" si="91"/>
        <v>MEDIO</v>
      </c>
      <c r="AV107" s="192" t="str">
        <f>_xlfn.IFNA(VLOOKUP(AD107,[18]Tipologías!$B$3:$G$17,4,0),"")</f>
        <v>INFORMACIÓN PÚBLICA</v>
      </c>
      <c r="AW107" s="192" t="str">
        <f t="shared" si="92"/>
        <v>IPB</v>
      </c>
      <c r="AX107" s="192" t="str">
        <f>_xlfn.IFNA(VLOOKUP(AD107,[18]Tipologías!$B$3:$G$17,3,0),"")</f>
        <v>LEY 1712 DE 2014 LEY DE TRANSPARENCIA Y DERECHO DE ACCESO A LA INFORMACIÓN. ARTÍCULO 6 DEFINICIONES LITERAL B.</v>
      </c>
      <c r="AY107" s="192" t="str">
        <f>_xlfn.IFNA(VLOOKUP(AD107,[18]Tipologías!$B$3:$G$17,5,0),"")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7" s="192" t="str">
        <f>_xlfn.IFNA(VLOOKUP(AD107,[18]Tipologías!$B$3:$G$17,6,0),"")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7" s="187" t="s">
        <v>195</v>
      </c>
      <c r="BB107" s="216">
        <v>45119</v>
      </c>
      <c r="BC107" s="187" t="s">
        <v>201</v>
      </c>
      <c r="BD107" s="191" t="s">
        <v>777</v>
      </c>
      <c r="BE107" s="191" t="s">
        <v>746</v>
      </c>
      <c r="BF107" s="45"/>
      <c r="BG107" s="45"/>
      <c r="BH107" s="45"/>
      <c r="BI107" s="45"/>
      <c r="BJ107" s="45"/>
      <c r="BK107" s="45"/>
      <c r="BL107" s="45"/>
      <c r="BM107" s="45"/>
      <c r="BN107" s="45"/>
      <c r="BO107" s="45"/>
      <c r="BP107" s="45"/>
      <c r="BQ107" s="45"/>
      <c r="BR107" s="45"/>
      <c r="BS107" s="45"/>
      <c r="BT107" s="45"/>
      <c r="BU107" s="45"/>
      <c r="BV107" s="45"/>
      <c r="BW107" s="45"/>
      <c r="BX107" s="45"/>
    </row>
    <row r="108" spans="1:76" s="67" customFormat="1" ht="207.2" customHeight="1" x14ac:dyDescent="0.2">
      <c r="A108" s="76">
        <v>99</v>
      </c>
      <c r="B108" s="117" t="s">
        <v>59</v>
      </c>
      <c r="C108" s="117" t="s">
        <v>303</v>
      </c>
      <c r="D108" s="120" t="s">
        <v>287</v>
      </c>
      <c r="E108" s="120" t="s">
        <v>778</v>
      </c>
      <c r="F108" s="131" t="s">
        <v>779</v>
      </c>
      <c r="G108" s="117" t="s">
        <v>139</v>
      </c>
      <c r="H108" s="102" t="s">
        <v>287</v>
      </c>
      <c r="I108" s="131" t="s">
        <v>780</v>
      </c>
      <c r="J108" s="151" t="s">
        <v>397</v>
      </c>
      <c r="K108" s="120" t="s">
        <v>320</v>
      </c>
      <c r="L108" s="131" t="s">
        <v>321</v>
      </c>
      <c r="M108" s="131" t="s">
        <v>781</v>
      </c>
      <c r="N108" s="131" t="s">
        <v>195</v>
      </c>
      <c r="O108" s="131" t="s">
        <v>146</v>
      </c>
      <c r="P108" s="120" t="s">
        <v>195</v>
      </c>
      <c r="Q108" s="119" t="s">
        <v>325</v>
      </c>
      <c r="R108" s="119" t="s">
        <v>325</v>
      </c>
      <c r="S108" s="120" t="s">
        <v>195</v>
      </c>
      <c r="T108" s="120" t="s">
        <v>195</v>
      </c>
      <c r="U108" s="196" t="s">
        <v>328</v>
      </c>
      <c r="V108" s="196" t="s">
        <v>328</v>
      </c>
      <c r="W108" s="121" t="s">
        <v>329</v>
      </c>
      <c r="X108" s="121" t="s">
        <v>329</v>
      </c>
      <c r="Y108" s="121" t="s">
        <v>329</v>
      </c>
      <c r="Z108" s="121" t="s">
        <v>329</v>
      </c>
      <c r="AA108" s="121" t="s">
        <v>195</v>
      </c>
      <c r="AB108" s="121" t="s">
        <v>195</v>
      </c>
      <c r="AC108" s="158" t="s">
        <v>195</v>
      </c>
      <c r="AD108" s="123" t="s">
        <v>216</v>
      </c>
      <c r="AE108" s="123" t="s">
        <v>134</v>
      </c>
      <c r="AF108" s="121" t="str">
        <f t="shared" ref="AF108:AF110" si="93">AR108</f>
        <v>ALTO</v>
      </c>
      <c r="AG108" s="123" t="s">
        <v>104</v>
      </c>
      <c r="AH108" s="121" t="str">
        <f>_xlfn.IFNA((AS108),"")</f>
        <v>ALTO</v>
      </c>
      <c r="AI108" s="123" t="s">
        <v>111</v>
      </c>
      <c r="AJ108" s="123" t="s">
        <v>121</v>
      </c>
      <c r="AK108" s="121" t="str">
        <f>_xlfn.IFNA((AT108),"")</f>
        <v>BAJO</v>
      </c>
      <c r="AL108" s="124" t="str">
        <f>VLOOKUP($AD108,[19]Tipologías!$B$3:$G$17,2,FALSE)</f>
        <v>ALTO</v>
      </c>
      <c r="AM108" s="124">
        <f t="shared" si="52"/>
        <v>3</v>
      </c>
      <c r="AN108" s="124" t="str">
        <f>VLOOKUP($AE108,[19]Tipologías!$A$21:$C$24,3,FALSE)</f>
        <v>ALTO</v>
      </c>
      <c r="AO108" s="124">
        <f t="shared" si="53"/>
        <v>3</v>
      </c>
      <c r="AP108" s="124">
        <f>VLOOKUP($AI108,[19]Tipologías!$A$38:$B$42,2,FALSE)</f>
        <v>0.5</v>
      </c>
      <c r="AQ108" s="124">
        <f>VLOOKUP($AJ108,[19]Tipologías!$A$46:$B$53,2,FALSE)</f>
        <v>1.25</v>
      </c>
      <c r="AR108" s="124" t="str">
        <f t="shared" si="89"/>
        <v>ALTO</v>
      </c>
      <c r="AS108" s="124" t="str">
        <f>VLOOKUP($AG108,[19]Tipologías!$A$29:$C$33,3,FALSE)</f>
        <v>ALTO</v>
      </c>
      <c r="AT108" s="124" t="str">
        <f t="shared" si="90"/>
        <v>BAJO</v>
      </c>
      <c r="AU108" s="124" t="str">
        <f t="shared" si="91"/>
        <v>ALTO</v>
      </c>
      <c r="AV108" s="124" t="str">
        <f>_xlfn.IFNA(VLOOKUP(AD108,[19]Tipologías!$B$3:$G$17,4,0),"")</f>
        <v>INFORMACIÓN PÚBLICA RESERVADA</v>
      </c>
      <c r="AW108" s="124" t="str">
        <f t="shared" si="92"/>
        <v>IPR</v>
      </c>
      <c r="AX108" s="124" t="str">
        <f>_xlfn.IFNA(VLOOKUP(AD108,[19]Tipologías!$B$3:$G$17,3,0),"")</f>
        <v>LEY 1712   DE 2014 ARTÍCULO 19 LITERAL H "LA ESTABILIDAD MACROECONÓMICA Y FINANCIERA DEL PAÍS."</v>
      </c>
      <c r="AY108" s="124" t="str">
        <f>_xlfn.IFNA(VLOOKUP(AD108,[19]Tipologías!$B$3:$G$17,5,0),"")</f>
        <v xml:space="preserve">ARTÍCULO 24 LEY 1437 DE 2011 CPACA - SUSTITUIDO POR EL ARTÍCULO 1 DE LA LEY 1755 DE 2015 NUMERAL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v>
      </c>
      <c r="AZ108" s="124" t="str">
        <f>_xlfn.IFNA(VLOOKUP(AD108,[19]Tipologías!$B$3:$G$17,6,0),"")</f>
        <v xml:space="preserve">LEY 1712 DE 2014 ARTÍCULO 19  </v>
      </c>
      <c r="BA108" s="119" t="s">
        <v>196</v>
      </c>
      <c r="BB108" s="217">
        <v>45133</v>
      </c>
      <c r="BC108" s="119" t="s">
        <v>201</v>
      </c>
      <c r="BD108" s="123" t="s">
        <v>782</v>
      </c>
      <c r="BE108" s="123" t="s">
        <v>783</v>
      </c>
      <c r="BF108" s="45"/>
      <c r="BG108" s="45"/>
      <c r="BH108" s="45"/>
      <c r="BI108" s="45"/>
      <c r="BJ108" s="45"/>
      <c r="BK108" s="45"/>
      <c r="BL108" s="45"/>
      <c r="BM108" s="45"/>
      <c r="BN108" s="45"/>
      <c r="BO108" s="45"/>
      <c r="BP108" s="45"/>
      <c r="BQ108" s="45"/>
      <c r="BR108" s="45"/>
      <c r="BS108" s="45"/>
      <c r="BT108" s="45"/>
      <c r="BU108" s="45"/>
      <c r="BV108" s="45"/>
      <c r="BW108" s="45"/>
      <c r="BX108" s="45"/>
    </row>
    <row r="109" spans="1:76" s="67" customFormat="1" ht="207.2" customHeight="1" x14ac:dyDescent="0.2">
      <c r="A109" s="76">
        <v>100</v>
      </c>
      <c r="B109" s="117" t="s">
        <v>59</v>
      </c>
      <c r="C109" s="117" t="s">
        <v>303</v>
      </c>
      <c r="D109" s="120" t="s">
        <v>287</v>
      </c>
      <c r="E109" s="120" t="s">
        <v>784</v>
      </c>
      <c r="F109" s="131" t="s">
        <v>785</v>
      </c>
      <c r="G109" s="117" t="s">
        <v>141</v>
      </c>
      <c r="H109" s="102" t="s">
        <v>287</v>
      </c>
      <c r="I109" s="131" t="s">
        <v>786</v>
      </c>
      <c r="J109" s="151" t="s">
        <v>336</v>
      </c>
      <c r="K109" s="182" t="s">
        <v>320</v>
      </c>
      <c r="L109" s="131" t="s">
        <v>362</v>
      </c>
      <c r="M109" s="131" t="s">
        <v>195</v>
      </c>
      <c r="N109" s="131" t="s">
        <v>787</v>
      </c>
      <c r="O109" s="131" t="s">
        <v>145</v>
      </c>
      <c r="P109" s="120" t="s">
        <v>788</v>
      </c>
      <c r="Q109" s="119" t="s">
        <v>325</v>
      </c>
      <c r="R109" s="119" t="s">
        <v>325</v>
      </c>
      <c r="S109" s="120" t="s">
        <v>195</v>
      </c>
      <c r="T109" s="120" t="s">
        <v>195</v>
      </c>
      <c r="U109" s="196" t="s">
        <v>329</v>
      </c>
      <c r="V109" s="196" t="s">
        <v>195</v>
      </c>
      <c r="W109" s="121" t="s">
        <v>195</v>
      </c>
      <c r="X109" s="121" t="s">
        <v>195</v>
      </c>
      <c r="Y109" s="121" t="s">
        <v>195</v>
      </c>
      <c r="Z109" s="121" t="s">
        <v>195</v>
      </c>
      <c r="AA109" s="121" t="s">
        <v>195</v>
      </c>
      <c r="AB109" s="121" t="s">
        <v>195</v>
      </c>
      <c r="AC109" s="158" t="s">
        <v>195</v>
      </c>
      <c r="AD109" s="123" t="s">
        <v>89</v>
      </c>
      <c r="AE109" s="123" t="s">
        <v>130</v>
      </c>
      <c r="AF109" s="121" t="str">
        <f t="shared" si="93"/>
        <v>BAJO</v>
      </c>
      <c r="AG109" s="123" t="s">
        <v>101</v>
      </c>
      <c r="AH109" s="121" t="str">
        <f t="shared" ref="AH109:AH110" si="94">_xlfn.IFNA((AS109),"")</f>
        <v>BAJO</v>
      </c>
      <c r="AI109" s="123" t="s">
        <v>114</v>
      </c>
      <c r="AJ109" s="123" t="s">
        <v>119</v>
      </c>
      <c r="AK109" s="121" t="str">
        <f t="shared" ref="AK109:AK110" si="95">_xlfn.IFNA((AT109),"")</f>
        <v>ALTO</v>
      </c>
      <c r="AL109" s="124" t="str">
        <f>VLOOKUP($AD109,[19]Tipologías!$B$3:$G$17,2,FALSE)</f>
        <v>BAJO</v>
      </c>
      <c r="AM109" s="124">
        <f t="shared" si="52"/>
        <v>1</v>
      </c>
      <c r="AN109" s="124" t="str">
        <f>VLOOKUP($AE109,[19]Tipologías!$A$21:$C$24,3,FALSE)</f>
        <v>BAJO</v>
      </c>
      <c r="AO109" s="124">
        <f t="shared" si="53"/>
        <v>1</v>
      </c>
      <c r="AP109" s="124">
        <f>VLOOKUP($AI109,[19]Tipologías!$A$38:$B$42,2,FALSE)</f>
        <v>1.5</v>
      </c>
      <c r="AQ109" s="124">
        <f>VLOOKUP($AJ109,[19]Tipologías!$A$46:$B$53,2,FALSE)</f>
        <v>2</v>
      </c>
      <c r="AR109" s="124" t="str">
        <f t="shared" si="89"/>
        <v>BAJO</v>
      </c>
      <c r="AS109" s="124" t="str">
        <f>VLOOKUP($AG109,[19]Tipologías!$A$29:$C$33,3,FALSE)</f>
        <v>BAJO</v>
      </c>
      <c r="AT109" s="124" t="str">
        <f t="shared" si="90"/>
        <v>ALTO</v>
      </c>
      <c r="AU109" s="124" t="str">
        <f t="shared" ref="AU109:AU110" si="96">_xlfn.IFNA(IF(AND(AR109="BAJO",AS109="BAJO",AT109="BAJO"),"BAJO",IF(AND(AR109="ALTO",AS109="ALTO",AT109="ALTO"),"ALTO",IF(COUNTIF(AR109:AT109,"ALTO")=2,"ALTO","MEDIO")))," ")</f>
        <v>MEDIO</v>
      </c>
      <c r="AV109" s="124" t="str">
        <f>_xlfn.IFNA(VLOOKUP(AD109,[19]Tipologías!$B$3:$G$17,4,0),"")</f>
        <v>INFORMACIÓN PÚBLICA</v>
      </c>
      <c r="AW109" s="124" t="str">
        <f t="shared" si="92"/>
        <v>IPB</v>
      </c>
      <c r="AX109" s="124" t="str">
        <f>_xlfn.IFNA(VLOOKUP(AD109,[19]Tipologías!$B$3:$G$17,3,0),"")</f>
        <v>LEY 1712 DE 2014 LEY DE TRANSPARENCIA Y DERECHO DE ACCESO A LA INFORMACIÓN. ARTÍCULO 6 DEFINICIONES LITERAL B.</v>
      </c>
      <c r="AY109" s="124" t="str">
        <f>_xlfn.IFNA(VLOOKUP(AD109,[19]Tipologías!$B$3:$G$17,5,0),"")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09" s="124" t="str">
        <f>_xlfn.IFNA(VLOOKUP(AD109,[19]Tipologías!$B$3:$G$17,6,0),"")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09" s="119" t="s">
        <v>195</v>
      </c>
      <c r="BB109" s="217">
        <v>45133</v>
      </c>
      <c r="BC109" s="119" t="s">
        <v>195</v>
      </c>
      <c r="BD109" s="123" t="s">
        <v>782</v>
      </c>
      <c r="BE109" s="123" t="s">
        <v>783</v>
      </c>
      <c r="BF109" s="45"/>
      <c r="BG109" s="45"/>
      <c r="BH109" s="45"/>
      <c r="BI109" s="45"/>
      <c r="BJ109" s="45"/>
      <c r="BK109" s="45"/>
      <c r="BL109" s="45"/>
      <c r="BM109" s="45"/>
      <c r="BN109" s="45"/>
      <c r="BO109" s="45"/>
      <c r="BP109" s="45"/>
      <c r="BQ109" s="45"/>
      <c r="BR109" s="45"/>
      <c r="BS109" s="45"/>
      <c r="BT109" s="45"/>
      <c r="BU109" s="45"/>
      <c r="BV109" s="45"/>
      <c r="BW109" s="45"/>
      <c r="BX109" s="45"/>
    </row>
    <row r="110" spans="1:76" s="67" customFormat="1" ht="207.2" customHeight="1" x14ac:dyDescent="0.2">
      <c r="A110" s="76">
        <v>101</v>
      </c>
      <c r="B110" s="117" t="s">
        <v>59</v>
      </c>
      <c r="C110" s="117" t="s">
        <v>303</v>
      </c>
      <c r="D110" s="120" t="s">
        <v>287</v>
      </c>
      <c r="E110" s="120" t="s">
        <v>789</v>
      </c>
      <c r="F110" s="131" t="s">
        <v>790</v>
      </c>
      <c r="G110" s="117" t="s">
        <v>205</v>
      </c>
      <c r="H110" s="102" t="s">
        <v>287</v>
      </c>
      <c r="I110" s="102" t="s">
        <v>287</v>
      </c>
      <c r="J110" s="151" t="s">
        <v>336</v>
      </c>
      <c r="K110" s="182" t="s">
        <v>320</v>
      </c>
      <c r="L110" s="131" t="s">
        <v>362</v>
      </c>
      <c r="M110" s="131" t="s">
        <v>195</v>
      </c>
      <c r="N110" s="131" t="s">
        <v>791</v>
      </c>
      <c r="O110" s="131" t="s">
        <v>144</v>
      </c>
      <c r="P110" s="120" t="s">
        <v>792</v>
      </c>
      <c r="Q110" s="119" t="s">
        <v>325</v>
      </c>
      <c r="R110" s="119" t="s">
        <v>325</v>
      </c>
      <c r="S110" s="120" t="s">
        <v>195</v>
      </c>
      <c r="T110" s="120" t="s">
        <v>195</v>
      </c>
      <c r="U110" s="196" t="s">
        <v>328</v>
      </c>
      <c r="V110" s="196" t="s">
        <v>328</v>
      </c>
      <c r="W110" s="121" t="s">
        <v>328</v>
      </c>
      <c r="X110" s="121" t="s">
        <v>329</v>
      </c>
      <c r="Y110" s="121" t="s">
        <v>329</v>
      </c>
      <c r="Z110" s="121" t="s">
        <v>329</v>
      </c>
      <c r="AA110" s="121" t="s">
        <v>328</v>
      </c>
      <c r="AB110" s="121" t="s">
        <v>328</v>
      </c>
      <c r="AC110" s="158" t="s">
        <v>195</v>
      </c>
      <c r="AD110" s="123" t="s">
        <v>89</v>
      </c>
      <c r="AE110" s="123" t="s">
        <v>130</v>
      </c>
      <c r="AF110" s="121" t="str">
        <f t="shared" si="93"/>
        <v>BAJO</v>
      </c>
      <c r="AG110" s="123" t="s">
        <v>101</v>
      </c>
      <c r="AH110" s="121" t="str">
        <f t="shared" si="94"/>
        <v>BAJO</v>
      </c>
      <c r="AI110" s="123" t="s">
        <v>113</v>
      </c>
      <c r="AJ110" s="123" t="s">
        <v>117</v>
      </c>
      <c r="AK110" s="121" t="str">
        <f t="shared" si="95"/>
        <v>ALTO</v>
      </c>
      <c r="AL110" s="124" t="str">
        <f>VLOOKUP($AD110,[19]Tipologías!$B$3:$G$17,2,FALSE)</f>
        <v>BAJO</v>
      </c>
      <c r="AM110" s="124">
        <f t="shared" si="52"/>
        <v>1</v>
      </c>
      <c r="AN110" s="124" t="str">
        <f>VLOOKUP($AE110,[19]Tipologías!$A$21:$C$24,3,FALSE)</f>
        <v>BAJO</v>
      </c>
      <c r="AO110" s="124">
        <f t="shared" si="53"/>
        <v>1</v>
      </c>
      <c r="AP110" s="124">
        <f>VLOOKUP($AI110,[19]Tipologías!$A$38:$B$42,2,FALSE)</f>
        <v>1</v>
      </c>
      <c r="AQ110" s="124">
        <f>VLOOKUP($AJ110,[19]Tipologías!$A$46:$B$53,2,FALSE)</f>
        <v>2.5</v>
      </c>
      <c r="AR110" s="124" t="str">
        <f t="shared" si="89"/>
        <v>BAJO</v>
      </c>
      <c r="AS110" s="124" t="str">
        <f>VLOOKUP($AG110,[19]Tipologías!$A$29:$C$33,3,FALSE)</f>
        <v>BAJO</v>
      </c>
      <c r="AT110" s="124" t="str">
        <f t="shared" si="90"/>
        <v>ALTO</v>
      </c>
      <c r="AU110" s="124" t="str">
        <f t="shared" si="96"/>
        <v>MEDIO</v>
      </c>
      <c r="AV110" s="124" t="str">
        <f>_xlfn.IFNA(VLOOKUP(AD110,[19]Tipologías!$B$3:$G$17,4,0),"")</f>
        <v>INFORMACIÓN PÚBLICA</v>
      </c>
      <c r="AW110" s="124" t="str">
        <f t="shared" si="92"/>
        <v>IPB</v>
      </c>
      <c r="AX110" s="124" t="str">
        <f>_xlfn.IFNA(VLOOKUP(AD110,[19]Tipologías!$B$3:$G$17,3,0),"")</f>
        <v>LEY 1712 DE 2014 LEY DE TRANSPARENCIA Y DERECHO DE ACCESO A LA INFORMACIÓN. ARTÍCULO 6 DEFINICIONES LITERAL B.</v>
      </c>
      <c r="AY110" s="124" t="str">
        <f>_xlfn.IFNA(VLOOKUP(AD110,[19]Tipologías!$B$3:$G$17,5,0),"")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10" s="124" t="str">
        <f>_xlfn.IFNA(VLOOKUP(AD110,[19]Tipologías!$B$3:$G$17,6,0),"")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10" s="119" t="s">
        <v>195</v>
      </c>
      <c r="BB110" s="217">
        <v>45133</v>
      </c>
      <c r="BC110" s="119" t="s">
        <v>195</v>
      </c>
      <c r="BD110" s="123" t="s">
        <v>782</v>
      </c>
      <c r="BE110" s="123" t="s">
        <v>783</v>
      </c>
      <c r="BF110" s="45"/>
      <c r="BG110" s="45"/>
      <c r="BH110" s="45"/>
      <c r="BI110" s="45"/>
      <c r="BJ110" s="45"/>
      <c r="BK110" s="45"/>
      <c r="BL110" s="45"/>
      <c r="BM110" s="45"/>
      <c r="BN110" s="45"/>
      <c r="BO110" s="45"/>
      <c r="BP110" s="45"/>
      <c r="BQ110" s="45"/>
      <c r="BR110" s="45"/>
      <c r="BS110" s="45"/>
      <c r="BT110" s="45"/>
      <c r="BU110" s="45"/>
      <c r="BV110" s="45"/>
      <c r="BW110" s="45"/>
      <c r="BX110" s="45"/>
    </row>
    <row r="111" spans="1:76" s="67" customFormat="1" ht="207.2" customHeight="1" x14ac:dyDescent="0.2">
      <c r="A111" s="76">
        <v>102</v>
      </c>
      <c r="B111" s="74" t="s">
        <v>62</v>
      </c>
      <c r="C111" s="74" t="s">
        <v>307</v>
      </c>
      <c r="D111" s="100" t="s">
        <v>284</v>
      </c>
      <c r="E111" s="100" t="s">
        <v>793</v>
      </c>
      <c r="F111" s="75" t="s">
        <v>794</v>
      </c>
      <c r="G111" s="74" t="s">
        <v>205</v>
      </c>
      <c r="H111" s="75" t="s">
        <v>795</v>
      </c>
      <c r="I111" s="75" t="s">
        <v>284</v>
      </c>
      <c r="J111" s="107" t="s">
        <v>336</v>
      </c>
      <c r="K111" s="100" t="s">
        <v>320</v>
      </c>
      <c r="L111" s="75" t="s">
        <v>321</v>
      </c>
      <c r="M111" s="75" t="s">
        <v>796</v>
      </c>
      <c r="N111" s="75" t="s">
        <v>796</v>
      </c>
      <c r="O111" s="75" t="s">
        <v>151</v>
      </c>
      <c r="P111" s="100" t="s">
        <v>797</v>
      </c>
      <c r="Q111" s="76" t="s">
        <v>325</v>
      </c>
      <c r="R111" s="76"/>
      <c r="S111" s="100" t="s">
        <v>195</v>
      </c>
      <c r="T111" s="100" t="s">
        <v>195</v>
      </c>
      <c r="U111" s="77" t="s">
        <v>328</v>
      </c>
      <c r="V111" s="77" t="s">
        <v>328</v>
      </c>
      <c r="W111" s="77" t="s">
        <v>328</v>
      </c>
      <c r="X111" s="77" t="s">
        <v>328</v>
      </c>
      <c r="Y111" s="77" t="s">
        <v>328</v>
      </c>
      <c r="Z111" s="77" t="s">
        <v>328</v>
      </c>
      <c r="AA111" s="77" t="s">
        <v>195</v>
      </c>
      <c r="AB111" s="77" t="s">
        <v>195</v>
      </c>
      <c r="AC111" s="79" t="s">
        <v>195</v>
      </c>
      <c r="AD111" s="78" t="s">
        <v>208</v>
      </c>
      <c r="AE111" s="78" t="s">
        <v>132</v>
      </c>
      <c r="AF111" s="136" t="str">
        <f>AR111</f>
        <v>ALTO</v>
      </c>
      <c r="AG111" s="78" t="s">
        <v>104</v>
      </c>
      <c r="AH111" s="136" t="str">
        <f>_xlfn.IFNA((AS111),"")</f>
        <v>ALTO</v>
      </c>
      <c r="AI111" s="78" t="s">
        <v>114</v>
      </c>
      <c r="AJ111" s="78" t="s">
        <v>120</v>
      </c>
      <c r="AK111" s="136" t="str">
        <f>_xlfn.IFNA((AT111),"")</f>
        <v>ALTO</v>
      </c>
      <c r="AL111" s="80" t="str">
        <f>VLOOKUP($AD111,[20]Tipologías!$B$3:$G$17,2,FALSE)</f>
        <v>ALTO</v>
      </c>
      <c r="AM111" s="80">
        <f t="shared" si="52"/>
        <v>3</v>
      </c>
      <c r="AN111" s="80" t="str">
        <f>VLOOKUP($AE111,[20]Tipologías!$A$21:$C$24,3,FALSE)</f>
        <v>MEDIO</v>
      </c>
      <c r="AO111" s="80">
        <f t="shared" si="53"/>
        <v>2</v>
      </c>
      <c r="AP111" s="80">
        <f>VLOOKUP($AI111,[20]Tipologías!$A$38:$B$42,2,FALSE)</f>
        <v>1.5</v>
      </c>
      <c r="AQ111" s="80">
        <f>VLOOKUP($AJ111,[20]Tipologías!$A$46:$B$53,2,FALSE)</f>
        <v>1.5</v>
      </c>
      <c r="AR111" s="80" t="str">
        <f>IF(MAX(AM111,AO111)=3,"ALTO",IF(MAX(AM111,AO111)=2,"MEDIO",IF(MAX(AM111,AO111)=1,"BAJO","  ")))</f>
        <v>ALTO</v>
      </c>
      <c r="AS111" s="80" t="str">
        <f>VLOOKUP($AG111,[20]Tipologías!$A$29:$C$33,3,FALSE)</f>
        <v>ALTO</v>
      </c>
      <c r="AT111" s="80" t="str">
        <f>IF(SUM($AP111,$AQ111)&gt;=3,"ALTO",IF(SUM($AP111,$AQ111)&lt;2,"BAJO","MEDIO"))</f>
        <v>ALTO</v>
      </c>
      <c r="AU111" s="80" t="str">
        <f>_xlfn.IFNA(IF(AND(AR111="BAJO",AS111="BAJO",AT111="BAJO"),"BAJO",IF(AND(AR111="ALTO",AS111="ALTO",AT111="ALTO"),"ALTO",IF(COUNTIF(AR111:AT111,"ALTO")=2,"ALTO","MEDIO")))," ")</f>
        <v>ALTO</v>
      </c>
      <c r="AV111" s="80" t="str">
        <f>_xlfn.IFNA(VLOOKUP(AD111,[20]Tipologías!$B$3:$G$17,4,0),"")</f>
        <v>INFORMACIÓN PÚBLICA CLASIFICADA</v>
      </c>
      <c r="AW111" s="80" t="str">
        <f>IF(AV111="INFORMACIÓN PÚBLICA","IPB",IF(AV111="INFORMACIÓN PÚBLICA CLASIFICADA","IPC",IF(AV111="INFORMACIÓN PÚBLICA RESERVADA","IPR",IF(AV111="",""))))</f>
        <v>IPC</v>
      </c>
      <c r="AX111" s="80" t="str">
        <f>_xlfn.IFNA(VLOOKUP(AD111,[20]Tipologías!$B$3:$G$17,3,0),"")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1" s="80" t="str">
        <f>_xlfn.IFNA(VLOOKUP(AD111,[20]Tipologías!$B$3:$G$17,5,0),"")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1" s="80" t="str">
        <f>_xlfn.IFNA(VLOOKUP(AD111,[20]Tipologías!$B$3:$G$17,6,0),"")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1" s="76" t="s">
        <v>196</v>
      </c>
      <c r="BB111" s="215">
        <v>45229</v>
      </c>
      <c r="BC111" s="76" t="s">
        <v>201</v>
      </c>
      <c r="BD111" s="78" t="s">
        <v>798</v>
      </c>
      <c r="BE111" s="78" t="s">
        <v>799</v>
      </c>
      <c r="BF111" s="45"/>
      <c r="BG111" s="45"/>
      <c r="BH111" s="45"/>
      <c r="BI111" s="45"/>
      <c r="BJ111" s="45"/>
      <c r="BK111" s="45"/>
      <c r="BL111" s="45"/>
      <c r="BM111" s="45"/>
      <c r="BN111" s="45"/>
      <c r="BO111" s="45"/>
      <c r="BP111" s="45"/>
      <c r="BQ111" s="45"/>
      <c r="BR111" s="45"/>
      <c r="BS111" s="45"/>
      <c r="BT111" s="45"/>
      <c r="BU111" s="45"/>
      <c r="BV111" s="45"/>
      <c r="BW111" s="45"/>
      <c r="BX111" s="45"/>
    </row>
    <row r="112" spans="1:76" s="67" customFormat="1" ht="207.2" customHeight="1" x14ac:dyDescent="0.2">
      <c r="A112" s="76">
        <v>103</v>
      </c>
      <c r="B112" s="74" t="s">
        <v>62</v>
      </c>
      <c r="C112" s="74" t="s">
        <v>307</v>
      </c>
      <c r="D112" s="100" t="s">
        <v>284</v>
      </c>
      <c r="E112" s="100" t="s">
        <v>800</v>
      </c>
      <c r="F112" s="75" t="s">
        <v>801</v>
      </c>
      <c r="G112" s="74" t="s">
        <v>141</v>
      </c>
      <c r="H112" s="75" t="s">
        <v>284</v>
      </c>
      <c r="I112" s="75" t="s">
        <v>284</v>
      </c>
      <c r="J112" s="107" t="s">
        <v>336</v>
      </c>
      <c r="K112" s="100" t="s">
        <v>320</v>
      </c>
      <c r="L112" s="75" t="s">
        <v>321</v>
      </c>
      <c r="M112" s="75" t="s">
        <v>796</v>
      </c>
      <c r="N112" s="75" t="s">
        <v>796</v>
      </c>
      <c r="O112" s="75" t="s">
        <v>151</v>
      </c>
      <c r="P112" s="100" t="s">
        <v>802</v>
      </c>
      <c r="Q112" s="76" t="s">
        <v>325</v>
      </c>
      <c r="R112" s="76" t="s">
        <v>325</v>
      </c>
      <c r="S112" s="100" t="s">
        <v>195</v>
      </c>
      <c r="T112" s="100" t="s">
        <v>195</v>
      </c>
      <c r="U112" s="77" t="s">
        <v>328</v>
      </c>
      <c r="V112" s="77" t="s">
        <v>328</v>
      </c>
      <c r="W112" s="77" t="s">
        <v>329</v>
      </c>
      <c r="X112" s="77" t="s">
        <v>329</v>
      </c>
      <c r="Y112" s="77" t="s">
        <v>329</v>
      </c>
      <c r="Z112" s="77" t="s">
        <v>329</v>
      </c>
      <c r="AA112" s="77" t="s">
        <v>195</v>
      </c>
      <c r="AB112" s="77" t="s">
        <v>195</v>
      </c>
      <c r="AC112" s="79" t="s">
        <v>195</v>
      </c>
      <c r="AD112" s="78" t="s">
        <v>208</v>
      </c>
      <c r="AE112" s="78" t="s">
        <v>132</v>
      </c>
      <c r="AF112" s="136" t="str">
        <f t="shared" ref="AF112:AF129" si="97">AR112</f>
        <v>ALTO</v>
      </c>
      <c r="AG112" s="78" t="s">
        <v>104</v>
      </c>
      <c r="AH112" s="136" t="str">
        <f t="shared" ref="AH112:AH129" si="98">_xlfn.IFNA((AS112),"")</f>
        <v>ALTO</v>
      </c>
      <c r="AI112" s="78" t="s">
        <v>114</v>
      </c>
      <c r="AJ112" s="78" t="s">
        <v>119</v>
      </c>
      <c r="AK112" s="136" t="str">
        <f t="shared" ref="AK112:AK129" si="99">_xlfn.IFNA((AT112),"")</f>
        <v>ALTO</v>
      </c>
      <c r="AL112" s="80" t="str">
        <f>VLOOKUP($AD112,[20]Tipologías!$B$3:$G$17,2,FALSE)</f>
        <v>ALTO</v>
      </c>
      <c r="AM112" s="80">
        <f t="shared" si="52"/>
        <v>3</v>
      </c>
      <c r="AN112" s="80" t="str">
        <f>VLOOKUP($AE112,[20]Tipologías!$A$21:$C$24,3,FALSE)</f>
        <v>MEDIO</v>
      </c>
      <c r="AO112" s="80">
        <f t="shared" si="53"/>
        <v>2</v>
      </c>
      <c r="AP112" s="80">
        <f>VLOOKUP($AI112,[20]Tipologías!$A$38:$B$42,2,FALSE)</f>
        <v>1.5</v>
      </c>
      <c r="AQ112" s="80">
        <f>VLOOKUP($AJ112,[20]Tipologías!$A$46:$B$53,2,FALSE)</f>
        <v>2</v>
      </c>
      <c r="AR112" s="80" t="str">
        <f>IF(MAX(AM112,AO112)=3,"ALTO",IF(MAX(AM112,AO112)=2,"MEDIO",IF(MAX(AM112,AO112)=1,"BAJO","  ")))</f>
        <v>ALTO</v>
      </c>
      <c r="AS112" s="80" t="str">
        <f>VLOOKUP($AG112,[20]Tipologías!$A$29:$C$33,3,FALSE)</f>
        <v>ALTO</v>
      </c>
      <c r="AT112" s="80" t="str">
        <f>IF(SUM($AP112,$AQ112)&gt;=3,"ALTO",IF(SUM($AP112,$AQ112)&lt;2,"BAJO","MEDIO"))</f>
        <v>ALTO</v>
      </c>
      <c r="AU112" s="80" t="str">
        <f>_xlfn.IFNA(IF(AND(AR112="BAJO",AS112="BAJO",AT112="BAJO"),"BAJO",IF(AND(AR112="ALTO",AS112="ALTO",AT112="ALTO"),"ALTO",IF(COUNTIF(AR112:AT112,"ALTO")=2,"ALTO","MEDIO")))," ")</f>
        <v>ALTO</v>
      </c>
      <c r="AV112" s="80" t="str">
        <f>_xlfn.IFNA(VLOOKUP(AD112,[20]Tipologías!$B$3:$G$17,4,0),"")</f>
        <v>INFORMACIÓN PÚBLICA CLASIFICADA</v>
      </c>
      <c r="AW112" s="80" t="str">
        <f>IF(AV112="INFORMACIÓN PÚBLICA","IPB",IF(AV112="INFORMACIÓN PÚBLICA CLASIFICADA","IPC",IF(AV112="INFORMACIÓN PÚBLICA RESERVADA","IPR",IF(AV112="",""))))</f>
        <v>IPC</v>
      </c>
      <c r="AX112" s="80" t="str">
        <f>_xlfn.IFNA(VLOOKUP(AD112,[20]Tipologías!$B$3:$G$17,3,0),"")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2" s="80" t="str">
        <f>_xlfn.IFNA(VLOOKUP(AD112,[20]Tipologías!$B$3:$G$17,5,0),"")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2" s="80" t="str">
        <f>_xlfn.IFNA(VLOOKUP(AD112,[20]Tipologías!$B$3:$G$17,6,0),"")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2" s="76" t="s">
        <v>196</v>
      </c>
      <c r="BB112" s="215">
        <v>45229</v>
      </c>
      <c r="BC112" s="76" t="s">
        <v>201</v>
      </c>
      <c r="BD112" s="78" t="s">
        <v>798</v>
      </c>
      <c r="BE112" s="78" t="s">
        <v>799</v>
      </c>
      <c r="BF112" s="45"/>
      <c r="BG112" s="45"/>
      <c r="BH112" s="45"/>
      <c r="BI112" s="45"/>
      <c r="BJ112" s="45"/>
      <c r="BK112" s="45"/>
      <c r="BL112" s="45"/>
      <c r="BM112" s="45"/>
      <c r="BN112" s="45"/>
      <c r="BO112" s="45"/>
      <c r="BP112" s="45"/>
      <c r="BQ112" s="45"/>
      <c r="BR112" s="45"/>
      <c r="BS112" s="45"/>
      <c r="BT112" s="45"/>
      <c r="BU112" s="45"/>
      <c r="BV112" s="45"/>
      <c r="BW112" s="45"/>
      <c r="BX112" s="45"/>
    </row>
    <row r="113" spans="1:76" s="67" customFormat="1" ht="207.2" customHeight="1" x14ac:dyDescent="0.2">
      <c r="A113" s="76">
        <v>104</v>
      </c>
      <c r="B113" s="74" t="s">
        <v>62</v>
      </c>
      <c r="C113" s="74" t="s">
        <v>307</v>
      </c>
      <c r="D113" s="100" t="s">
        <v>284</v>
      </c>
      <c r="E113" s="100" t="s">
        <v>803</v>
      </c>
      <c r="F113" s="75" t="s">
        <v>804</v>
      </c>
      <c r="G113" s="74" t="s">
        <v>139</v>
      </c>
      <c r="H113" s="75" t="s">
        <v>284</v>
      </c>
      <c r="I113" s="75" t="s">
        <v>284</v>
      </c>
      <c r="J113" s="107" t="s">
        <v>319</v>
      </c>
      <c r="K113" s="100" t="s">
        <v>320</v>
      </c>
      <c r="L113" s="75" t="s">
        <v>321</v>
      </c>
      <c r="M113" s="75" t="s">
        <v>805</v>
      </c>
      <c r="N113" s="75" t="s">
        <v>796</v>
      </c>
      <c r="O113" s="75" t="s">
        <v>151</v>
      </c>
      <c r="P113" s="100" t="s">
        <v>806</v>
      </c>
      <c r="Q113" s="76" t="s">
        <v>325</v>
      </c>
      <c r="R113" s="76"/>
      <c r="S113" s="100" t="s">
        <v>195</v>
      </c>
      <c r="T113" s="100" t="s">
        <v>195</v>
      </c>
      <c r="U113" s="77" t="s">
        <v>329</v>
      </c>
      <c r="V113" s="77" t="s">
        <v>195</v>
      </c>
      <c r="W113" s="77" t="s">
        <v>195</v>
      </c>
      <c r="X113" s="77" t="s">
        <v>195</v>
      </c>
      <c r="Y113" s="77" t="s">
        <v>195</v>
      </c>
      <c r="Z113" s="77" t="s">
        <v>195</v>
      </c>
      <c r="AA113" s="77" t="s">
        <v>195</v>
      </c>
      <c r="AB113" s="77" t="s">
        <v>195</v>
      </c>
      <c r="AC113" s="79" t="s">
        <v>195</v>
      </c>
      <c r="AD113" s="78" t="s">
        <v>208</v>
      </c>
      <c r="AE113" s="78" t="s">
        <v>134</v>
      </c>
      <c r="AF113" s="136" t="str">
        <f t="shared" si="97"/>
        <v>ALTO</v>
      </c>
      <c r="AG113" s="78" t="s">
        <v>104</v>
      </c>
      <c r="AH113" s="136" t="str">
        <f t="shared" si="98"/>
        <v>ALTO</v>
      </c>
      <c r="AI113" s="78" t="s">
        <v>114</v>
      </c>
      <c r="AJ113" s="78" t="s">
        <v>119</v>
      </c>
      <c r="AK113" s="136" t="str">
        <f t="shared" si="99"/>
        <v>ALTO</v>
      </c>
      <c r="AL113" s="80" t="str">
        <f>VLOOKUP($AD113,[20]Tipologías!$B$3:$G$17,2,FALSE)</f>
        <v>ALTO</v>
      </c>
      <c r="AM113" s="80">
        <f t="shared" si="52"/>
        <v>3</v>
      </c>
      <c r="AN113" s="80" t="str">
        <f>VLOOKUP($AE113,[20]Tipologías!$A$21:$C$24,3,FALSE)</f>
        <v>ALTO</v>
      </c>
      <c r="AO113" s="80">
        <f t="shared" si="53"/>
        <v>3</v>
      </c>
      <c r="AP113" s="80">
        <f>VLOOKUP($AI113,[20]Tipologías!$A$38:$B$42,2,FALSE)</f>
        <v>1.5</v>
      </c>
      <c r="AQ113" s="80">
        <f>VLOOKUP($AJ113,[20]Tipologías!$A$46:$B$53,2,FALSE)</f>
        <v>2</v>
      </c>
      <c r="AR113" s="80" t="str">
        <f t="shared" ref="AR113:AR129" si="100">IF(MAX(AM113,AO113)=3,"ALTO",IF(MAX(AM113,AO113)=2,"MEDIO",IF(MAX(AM113,AO113)=1,"BAJO","  ")))</f>
        <v>ALTO</v>
      </c>
      <c r="AS113" s="80" t="str">
        <f>VLOOKUP($AG113,[20]Tipologías!$A$29:$C$33,3,FALSE)</f>
        <v>ALTO</v>
      </c>
      <c r="AT113" s="80" t="str">
        <f t="shared" ref="AT113:AT129" si="101">IF(SUM($AP113,$AQ113)&gt;=3,"ALTO",IF(SUM($AP113,$AQ113)&lt;2,"BAJO","MEDIO"))</f>
        <v>ALTO</v>
      </c>
      <c r="AU113" s="80" t="str">
        <f t="shared" ref="AU113:AU129" si="102">_xlfn.IFNA(IF(AND(AR113="BAJO",AS113="BAJO",AT113="BAJO"),"BAJO",IF(AND(AR113="ALTO",AS113="ALTO",AT113="ALTO"),"ALTO",IF(COUNTIF(AR113:AT113,"ALTO")=2,"ALTO","MEDIO")))," ")</f>
        <v>ALTO</v>
      </c>
      <c r="AV113" s="80" t="str">
        <f>_xlfn.IFNA(VLOOKUP(AD113,[20]Tipologías!$B$3:$G$17,4,0),"")</f>
        <v>INFORMACIÓN PÚBLICA CLASIFICADA</v>
      </c>
      <c r="AW113" s="80" t="str">
        <f t="shared" ref="AW113:AW129" si="103">IF(AV113="INFORMACIÓN PÚBLICA","IPB",IF(AV113="INFORMACIÓN PÚBLICA CLASIFICADA","IPC",IF(AV113="INFORMACIÓN PÚBLICA RESERVADA","IPR",IF(AV113="",""))))</f>
        <v>IPC</v>
      </c>
      <c r="AX113" s="80" t="str">
        <f>_xlfn.IFNA(VLOOKUP(AD113,[20]Tipologías!$B$3:$G$17,3,0),"")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3" s="80" t="str">
        <f>_xlfn.IFNA(VLOOKUP(AD113,[20]Tipologías!$B$3:$G$17,5,0),"")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3" s="80" t="str">
        <f>_xlfn.IFNA(VLOOKUP(AD113,[20]Tipologías!$B$3:$G$17,6,0),"")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3" s="76" t="s">
        <v>196</v>
      </c>
      <c r="BB113" s="215">
        <v>45229</v>
      </c>
      <c r="BC113" s="76" t="s">
        <v>201</v>
      </c>
      <c r="BD113" s="78" t="s">
        <v>798</v>
      </c>
      <c r="BE113" s="78" t="s">
        <v>799</v>
      </c>
      <c r="BF113" s="45"/>
      <c r="BG113" s="45"/>
      <c r="BH113" s="45"/>
      <c r="BI113" s="45"/>
      <c r="BJ113" s="45"/>
      <c r="BK113" s="45"/>
      <c r="BL113" s="45"/>
      <c r="BM113" s="45"/>
      <c r="BN113" s="45"/>
      <c r="BO113" s="45"/>
      <c r="BP113" s="45"/>
      <c r="BQ113" s="45"/>
      <c r="BR113" s="45"/>
      <c r="BS113" s="45"/>
      <c r="BT113" s="45"/>
      <c r="BU113" s="45"/>
      <c r="BV113" s="45"/>
      <c r="BW113" s="45"/>
      <c r="BX113" s="45"/>
    </row>
    <row r="114" spans="1:76" s="67" customFormat="1" ht="207.2" customHeight="1" x14ac:dyDescent="0.2">
      <c r="A114" s="76">
        <v>105</v>
      </c>
      <c r="B114" s="74" t="s">
        <v>62</v>
      </c>
      <c r="C114" s="74" t="s">
        <v>307</v>
      </c>
      <c r="D114" s="100" t="s">
        <v>284</v>
      </c>
      <c r="E114" s="100" t="s">
        <v>807</v>
      </c>
      <c r="F114" s="75" t="s">
        <v>808</v>
      </c>
      <c r="G114" s="74" t="s">
        <v>141</v>
      </c>
      <c r="H114" s="75" t="s">
        <v>284</v>
      </c>
      <c r="I114" s="75" t="s">
        <v>284</v>
      </c>
      <c r="J114" s="107" t="s">
        <v>336</v>
      </c>
      <c r="K114" s="100" t="s">
        <v>320</v>
      </c>
      <c r="L114" s="75" t="s">
        <v>321</v>
      </c>
      <c r="M114" s="75" t="s">
        <v>195</v>
      </c>
      <c r="N114" s="75" t="s">
        <v>796</v>
      </c>
      <c r="O114" s="75" t="s">
        <v>151</v>
      </c>
      <c r="P114" s="100" t="s">
        <v>806</v>
      </c>
      <c r="Q114" s="76" t="s">
        <v>325</v>
      </c>
      <c r="R114" s="76" t="s">
        <v>325</v>
      </c>
      <c r="S114" s="100" t="s">
        <v>195</v>
      </c>
      <c r="T114" s="100" t="s">
        <v>195</v>
      </c>
      <c r="U114" s="77" t="s">
        <v>329</v>
      </c>
      <c r="V114" s="77" t="s">
        <v>195</v>
      </c>
      <c r="W114" s="77" t="s">
        <v>195</v>
      </c>
      <c r="X114" s="77" t="s">
        <v>195</v>
      </c>
      <c r="Y114" s="77" t="s">
        <v>195</v>
      </c>
      <c r="Z114" s="77" t="s">
        <v>195</v>
      </c>
      <c r="AA114" s="77" t="s">
        <v>195</v>
      </c>
      <c r="AB114" s="77" t="s">
        <v>195</v>
      </c>
      <c r="AC114" s="79" t="s">
        <v>195</v>
      </c>
      <c r="AD114" s="78" t="s">
        <v>208</v>
      </c>
      <c r="AE114" s="78" t="s">
        <v>134</v>
      </c>
      <c r="AF114" s="136" t="str">
        <f t="shared" si="97"/>
        <v>ALTO</v>
      </c>
      <c r="AG114" s="78" t="s">
        <v>104</v>
      </c>
      <c r="AH114" s="136" t="str">
        <f t="shared" si="98"/>
        <v>ALTO</v>
      </c>
      <c r="AI114" s="78" t="s">
        <v>114</v>
      </c>
      <c r="AJ114" s="78" t="s">
        <v>119</v>
      </c>
      <c r="AK114" s="136" t="str">
        <f t="shared" si="99"/>
        <v>ALTO</v>
      </c>
      <c r="AL114" s="80" t="str">
        <f>VLOOKUP($AD114,[20]Tipologías!$B$3:$G$17,2,FALSE)</f>
        <v>ALTO</v>
      </c>
      <c r="AM114" s="80">
        <f t="shared" si="52"/>
        <v>3</v>
      </c>
      <c r="AN114" s="80" t="str">
        <f>VLOOKUP($AE114,[20]Tipologías!$A$21:$C$24,3,FALSE)</f>
        <v>ALTO</v>
      </c>
      <c r="AO114" s="80">
        <f t="shared" si="53"/>
        <v>3</v>
      </c>
      <c r="AP114" s="80">
        <f>VLOOKUP($AI114,[20]Tipologías!$A$38:$B$42,2,FALSE)</f>
        <v>1.5</v>
      </c>
      <c r="AQ114" s="80">
        <f>VLOOKUP($AJ114,[20]Tipologías!$A$46:$B$53,2,FALSE)</f>
        <v>2</v>
      </c>
      <c r="AR114" s="80" t="str">
        <f t="shared" si="100"/>
        <v>ALTO</v>
      </c>
      <c r="AS114" s="80" t="str">
        <f>VLOOKUP($AG114,[20]Tipologías!$A$29:$C$33,3,FALSE)</f>
        <v>ALTO</v>
      </c>
      <c r="AT114" s="80" t="str">
        <f t="shared" si="101"/>
        <v>ALTO</v>
      </c>
      <c r="AU114" s="80" t="str">
        <f t="shared" si="102"/>
        <v>ALTO</v>
      </c>
      <c r="AV114" s="80" t="str">
        <f>_xlfn.IFNA(VLOOKUP(AD114,[20]Tipologías!$B$3:$G$17,4,0),"")</f>
        <v>INFORMACIÓN PÚBLICA CLASIFICADA</v>
      </c>
      <c r="AW114" s="80" t="str">
        <f t="shared" si="103"/>
        <v>IPC</v>
      </c>
      <c r="AX114" s="80" t="str">
        <f>_xlfn.IFNA(VLOOKUP(AD114,[20]Tipologías!$B$3:$G$17,3,0),"")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4" s="80" t="str">
        <f>_xlfn.IFNA(VLOOKUP(AD114,[20]Tipologías!$B$3:$G$17,5,0),"")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4" s="80" t="str">
        <f>_xlfn.IFNA(VLOOKUP(AD114,[20]Tipologías!$B$3:$G$17,6,0),"")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4" s="76" t="s">
        <v>196</v>
      </c>
      <c r="BB114" s="215">
        <v>45229</v>
      </c>
      <c r="BC114" s="76" t="s">
        <v>201</v>
      </c>
      <c r="BD114" s="78" t="s">
        <v>798</v>
      </c>
      <c r="BE114" s="78" t="s">
        <v>799</v>
      </c>
      <c r="BF114" s="45"/>
      <c r="BG114" s="45"/>
      <c r="BH114" s="45"/>
      <c r="BI114" s="45"/>
      <c r="BJ114" s="45"/>
      <c r="BK114" s="45"/>
      <c r="BL114" s="45"/>
      <c r="BM114" s="45"/>
      <c r="BN114" s="45"/>
      <c r="BO114" s="45"/>
      <c r="BP114" s="45"/>
      <c r="BQ114" s="45"/>
      <c r="BR114" s="45"/>
      <c r="BS114" s="45"/>
      <c r="BT114" s="45"/>
      <c r="BU114" s="45"/>
      <c r="BV114" s="45"/>
      <c r="BW114" s="45"/>
      <c r="BX114" s="45"/>
    </row>
    <row r="115" spans="1:76" s="67" customFormat="1" ht="207.2" customHeight="1" x14ac:dyDescent="0.2">
      <c r="A115" s="76">
        <v>106</v>
      </c>
      <c r="B115" s="74" t="s">
        <v>62</v>
      </c>
      <c r="C115" s="74" t="s">
        <v>307</v>
      </c>
      <c r="D115" s="100" t="s">
        <v>284</v>
      </c>
      <c r="E115" s="100" t="s">
        <v>809</v>
      </c>
      <c r="F115" s="75" t="s">
        <v>810</v>
      </c>
      <c r="G115" s="74" t="s">
        <v>205</v>
      </c>
      <c r="H115" s="75" t="s">
        <v>284</v>
      </c>
      <c r="I115" s="75" t="s">
        <v>284</v>
      </c>
      <c r="J115" s="107" t="s">
        <v>319</v>
      </c>
      <c r="K115" s="100" t="s">
        <v>320</v>
      </c>
      <c r="L115" s="75" t="s">
        <v>321</v>
      </c>
      <c r="M115" s="75" t="s">
        <v>811</v>
      </c>
      <c r="N115" s="75" t="s">
        <v>812</v>
      </c>
      <c r="O115" s="75" t="s">
        <v>151</v>
      </c>
      <c r="P115" s="157" t="s">
        <v>813</v>
      </c>
      <c r="Q115" s="76" t="s">
        <v>325</v>
      </c>
      <c r="R115" s="76"/>
      <c r="S115" s="146" t="s">
        <v>814</v>
      </c>
      <c r="T115" s="100" t="s">
        <v>195</v>
      </c>
      <c r="U115" s="77" t="s">
        <v>328</v>
      </c>
      <c r="V115" s="77" t="s">
        <v>328</v>
      </c>
      <c r="W115" s="77" t="s">
        <v>329</v>
      </c>
      <c r="X115" s="77" t="s">
        <v>329</v>
      </c>
      <c r="Y115" s="77" t="s">
        <v>329</v>
      </c>
      <c r="Z115" s="77" t="s">
        <v>329</v>
      </c>
      <c r="AA115" s="77" t="s">
        <v>195</v>
      </c>
      <c r="AB115" s="77" t="s">
        <v>195</v>
      </c>
      <c r="AC115" s="79" t="s">
        <v>195</v>
      </c>
      <c r="AD115" s="78" t="s">
        <v>89</v>
      </c>
      <c r="AE115" s="78" t="s">
        <v>132</v>
      </c>
      <c r="AF115" s="136" t="str">
        <f t="shared" si="97"/>
        <v>MEDIO</v>
      </c>
      <c r="AG115" s="78" t="s">
        <v>101</v>
      </c>
      <c r="AH115" s="136" t="str">
        <f t="shared" si="98"/>
        <v>BAJO</v>
      </c>
      <c r="AI115" s="78" t="s">
        <v>113</v>
      </c>
      <c r="AJ115" s="78" t="s">
        <v>123</v>
      </c>
      <c r="AK115" s="136" t="str">
        <f t="shared" si="99"/>
        <v>BAJO</v>
      </c>
      <c r="AL115" s="80" t="str">
        <f>VLOOKUP($AD115,[20]Tipologías!$B$3:$G$17,2,FALSE)</f>
        <v>BAJO</v>
      </c>
      <c r="AM115" s="80">
        <f t="shared" si="52"/>
        <v>1</v>
      </c>
      <c r="AN115" s="80" t="str">
        <f>VLOOKUP($AE115,[20]Tipologías!$A$21:$C$24,3,FALSE)</f>
        <v>MEDIO</v>
      </c>
      <c r="AO115" s="80">
        <f t="shared" si="53"/>
        <v>2</v>
      </c>
      <c r="AP115" s="80">
        <f>VLOOKUP($AI115,[20]Tipologías!$A$38:$B$42,2,FALSE)</f>
        <v>1</v>
      </c>
      <c r="AQ115" s="80">
        <f>VLOOKUP($AJ115,[20]Tipologías!$A$46:$B$53,2,FALSE)</f>
        <v>0.5</v>
      </c>
      <c r="AR115" s="80" t="str">
        <f t="shared" si="100"/>
        <v>MEDIO</v>
      </c>
      <c r="AS115" s="80" t="str">
        <f>VLOOKUP($AG115,[20]Tipologías!$A$29:$C$33,3,FALSE)</f>
        <v>BAJO</v>
      </c>
      <c r="AT115" s="80" t="str">
        <f t="shared" si="101"/>
        <v>BAJO</v>
      </c>
      <c r="AU115" s="80" t="str">
        <f t="shared" si="102"/>
        <v>MEDIO</v>
      </c>
      <c r="AV115" s="80" t="str">
        <f>_xlfn.IFNA(VLOOKUP(AD115,[20]Tipologías!$B$3:$G$17,4,0),"")</f>
        <v>INFORMACIÓN PÚBLICA</v>
      </c>
      <c r="AW115" s="80" t="str">
        <f t="shared" si="103"/>
        <v>IPB</v>
      </c>
      <c r="AX115" s="80" t="str">
        <f>_xlfn.IFNA(VLOOKUP(AD115,[20]Tipologías!$B$3:$G$17,3,0),"")</f>
        <v>LEY 1712 DE 2014 LEY DE TRANSPARENCIA Y DERECHO DE ACCESO A LA INFORMACIÓN. ARTÍCULO 6 DEFINICIONES LITERAL B.</v>
      </c>
      <c r="AY115" s="80" t="str">
        <f>_xlfn.IFNA(VLOOKUP(AD115,[20]Tipologías!$B$3:$G$17,5,0),"")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15" s="80" t="str">
        <f>_xlfn.IFNA(VLOOKUP(AD115,[20]Tipologías!$B$3:$G$17,6,0),"")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15" s="76" t="s">
        <v>197</v>
      </c>
      <c r="BB115" s="215">
        <v>45229</v>
      </c>
      <c r="BC115" s="76" t="s">
        <v>201</v>
      </c>
      <c r="BD115" s="78" t="s">
        <v>798</v>
      </c>
      <c r="BE115" s="78" t="s">
        <v>799</v>
      </c>
      <c r="BF115" s="45"/>
      <c r="BG115" s="45"/>
      <c r="BH115" s="45"/>
      <c r="BI115" s="45"/>
      <c r="BJ115" s="45"/>
      <c r="BK115" s="45"/>
      <c r="BL115" s="45"/>
      <c r="BM115" s="45"/>
      <c r="BN115" s="45"/>
      <c r="BO115" s="45"/>
      <c r="BP115" s="45"/>
      <c r="BQ115" s="45"/>
      <c r="BR115" s="45"/>
      <c r="BS115" s="45"/>
      <c r="BT115" s="45"/>
      <c r="BU115" s="45"/>
      <c r="BV115" s="45"/>
      <c r="BW115" s="45"/>
      <c r="BX115" s="45"/>
    </row>
    <row r="116" spans="1:76" s="67" customFormat="1" ht="207.2" customHeight="1" x14ac:dyDescent="0.2">
      <c r="A116" s="76">
        <v>107</v>
      </c>
      <c r="B116" s="74" t="s">
        <v>62</v>
      </c>
      <c r="C116" s="74" t="s">
        <v>307</v>
      </c>
      <c r="D116" s="100" t="s">
        <v>284</v>
      </c>
      <c r="E116" s="115" t="s">
        <v>815</v>
      </c>
      <c r="F116" s="110" t="s">
        <v>816</v>
      </c>
      <c r="G116" s="74" t="s">
        <v>173</v>
      </c>
      <c r="H116" s="75" t="s">
        <v>284</v>
      </c>
      <c r="I116" s="75" t="s">
        <v>284</v>
      </c>
      <c r="J116" s="107"/>
      <c r="K116" s="100" t="s">
        <v>320</v>
      </c>
      <c r="L116" s="75" t="s">
        <v>321</v>
      </c>
      <c r="M116" s="75" t="s">
        <v>195</v>
      </c>
      <c r="N116" s="75" t="s">
        <v>195</v>
      </c>
      <c r="O116" s="75"/>
      <c r="P116" s="100" t="s">
        <v>195</v>
      </c>
      <c r="Q116" s="76" t="s">
        <v>325</v>
      </c>
      <c r="R116" s="76" t="s">
        <v>325</v>
      </c>
      <c r="S116" s="100" t="s">
        <v>195</v>
      </c>
      <c r="T116" s="100" t="s">
        <v>195</v>
      </c>
      <c r="U116" s="77" t="s">
        <v>195</v>
      </c>
      <c r="V116" s="77" t="s">
        <v>195</v>
      </c>
      <c r="W116" s="77" t="s">
        <v>195</v>
      </c>
      <c r="X116" s="77" t="s">
        <v>195</v>
      </c>
      <c r="Y116" s="77" t="s">
        <v>195</v>
      </c>
      <c r="Z116" s="77" t="s">
        <v>195</v>
      </c>
      <c r="AA116" s="77" t="s">
        <v>195</v>
      </c>
      <c r="AB116" s="77" t="s">
        <v>195</v>
      </c>
      <c r="AC116" s="79" t="s">
        <v>195</v>
      </c>
      <c r="AD116" s="78" t="s">
        <v>208</v>
      </c>
      <c r="AE116" s="78" t="s">
        <v>132</v>
      </c>
      <c r="AF116" s="136" t="str">
        <f t="shared" si="97"/>
        <v>ALTO</v>
      </c>
      <c r="AG116" s="78" t="s">
        <v>102</v>
      </c>
      <c r="AH116" s="136" t="str">
        <f t="shared" si="98"/>
        <v>MEDIO</v>
      </c>
      <c r="AI116" s="78" t="s">
        <v>114</v>
      </c>
      <c r="AJ116" s="78" t="s">
        <v>120</v>
      </c>
      <c r="AK116" s="136" t="str">
        <f t="shared" si="99"/>
        <v>ALTO</v>
      </c>
      <c r="AL116" s="80" t="str">
        <f>VLOOKUP($AD116,[20]Tipologías!$B$3:$G$17,2,FALSE)</f>
        <v>ALTO</v>
      </c>
      <c r="AM116" s="80">
        <f t="shared" si="52"/>
        <v>3</v>
      </c>
      <c r="AN116" s="80" t="str">
        <f>VLOOKUP($AE116,[20]Tipologías!$A$21:$C$24,3,FALSE)</f>
        <v>MEDIO</v>
      </c>
      <c r="AO116" s="80">
        <f t="shared" si="53"/>
        <v>2</v>
      </c>
      <c r="AP116" s="80">
        <f>VLOOKUP($AI116,[20]Tipologías!$A$38:$B$42,2,FALSE)</f>
        <v>1.5</v>
      </c>
      <c r="AQ116" s="80">
        <f>VLOOKUP($AJ116,[20]Tipologías!$A$46:$B$53,2,FALSE)</f>
        <v>1.5</v>
      </c>
      <c r="AR116" s="80" t="str">
        <f t="shared" si="100"/>
        <v>ALTO</v>
      </c>
      <c r="AS116" s="80" t="str">
        <f>VLOOKUP($AG116,[20]Tipologías!$A$29:$C$33,3,FALSE)</f>
        <v>MEDIO</v>
      </c>
      <c r="AT116" s="80" t="str">
        <f t="shared" si="101"/>
        <v>ALTO</v>
      </c>
      <c r="AU116" s="80" t="str">
        <f t="shared" si="102"/>
        <v>ALTO</v>
      </c>
      <c r="AV116" s="80" t="str">
        <f>_xlfn.IFNA(VLOOKUP(AD116,[20]Tipologías!$B$3:$G$17,4,0),"")</f>
        <v>INFORMACIÓN PÚBLICA CLASIFICADA</v>
      </c>
      <c r="AW116" s="80" t="str">
        <f t="shared" si="103"/>
        <v>IPC</v>
      </c>
      <c r="AX116" s="80" t="str">
        <f>_xlfn.IFNA(VLOOKUP(AD116,[20]Tipologías!$B$3:$G$17,3,0),"")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6" s="80" t="str">
        <f>_xlfn.IFNA(VLOOKUP(AD116,[20]Tipologías!$B$3:$G$17,5,0),"")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6" s="80" t="str">
        <f>_xlfn.IFNA(VLOOKUP(AD116,[20]Tipologías!$B$3:$G$17,6,0),"")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6" s="76" t="s">
        <v>197</v>
      </c>
      <c r="BB116" s="215">
        <v>45229</v>
      </c>
      <c r="BC116" s="76" t="s">
        <v>201</v>
      </c>
      <c r="BD116" s="78" t="s">
        <v>798</v>
      </c>
      <c r="BE116" s="78" t="s">
        <v>799</v>
      </c>
      <c r="BF116" s="45"/>
      <c r="BG116" s="45"/>
      <c r="BH116" s="45"/>
      <c r="BI116" s="45"/>
      <c r="BJ116" s="45"/>
      <c r="BK116" s="45"/>
      <c r="BL116" s="45"/>
      <c r="BM116" s="45"/>
      <c r="BN116" s="45"/>
      <c r="BO116" s="45"/>
      <c r="BP116" s="45"/>
      <c r="BQ116" s="45"/>
      <c r="BR116" s="45"/>
      <c r="BS116" s="45"/>
      <c r="BT116" s="45"/>
      <c r="BU116" s="45"/>
      <c r="BV116" s="45"/>
      <c r="BW116" s="45"/>
      <c r="BX116" s="45"/>
    </row>
    <row r="117" spans="1:76" s="67" customFormat="1" ht="207.2" customHeight="1" x14ac:dyDescent="0.2">
      <c r="A117" s="76">
        <v>108</v>
      </c>
      <c r="B117" s="74" t="s">
        <v>62</v>
      </c>
      <c r="C117" s="74" t="s">
        <v>307</v>
      </c>
      <c r="D117" s="100" t="s">
        <v>284</v>
      </c>
      <c r="E117" s="109" t="s">
        <v>817</v>
      </c>
      <c r="F117" s="110" t="s">
        <v>818</v>
      </c>
      <c r="G117" s="74" t="s">
        <v>140</v>
      </c>
      <c r="H117" s="75" t="s">
        <v>284</v>
      </c>
      <c r="I117" s="75" t="s">
        <v>284</v>
      </c>
      <c r="J117" s="107" t="s">
        <v>336</v>
      </c>
      <c r="K117" s="100" t="s">
        <v>320</v>
      </c>
      <c r="L117" s="75" t="s">
        <v>321</v>
      </c>
      <c r="M117" s="75" t="s">
        <v>805</v>
      </c>
      <c r="N117" s="75" t="s">
        <v>796</v>
      </c>
      <c r="O117" s="75" t="s">
        <v>151</v>
      </c>
      <c r="P117" s="100" t="s">
        <v>195</v>
      </c>
      <c r="Q117" s="76" t="s">
        <v>325</v>
      </c>
      <c r="R117" s="76" t="s">
        <v>325</v>
      </c>
      <c r="S117" s="100" t="s">
        <v>195</v>
      </c>
      <c r="T117" s="100" t="s">
        <v>195</v>
      </c>
      <c r="U117" s="77" t="s">
        <v>195</v>
      </c>
      <c r="V117" s="77" t="s">
        <v>195</v>
      </c>
      <c r="W117" s="77" t="s">
        <v>195</v>
      </c>
      <c r="X117" s="77" t="s">
        <v>195</v>
      </c>
      <c r="Y117" s="77" t="s">
        <v>195</v>
      </c>
      <c r="Z117" s="77" t="s">
        <v>195</v>
      </c>
      <c r="AA117" s="77" t="s">
        <v>195</v>
      </c>
      <c r="AB117" s="77" t="s">
        <v>195</v>
      </c>
      <c r="AC117" s="79" t="s">
        <v>195</v>
      </c>
      <c r="AD117" s="78" t="s">
        <v>208</v>
      </c>
      <c r="AE117" s="78" t="s">
        <v>134</v>
      </c>
      <c r="AF117" s="136" t="str">
        <f t="shared" si="97"/>
        <v>ALTO</v>
      </c>
      <c r="AG117" s="78" t="s">
        <v>102</v>
      </c>
      <c r="AH117" s="136" t="str">
        <f t="shared" si="98"/>
        <v>MEDIO</v>
      </c>
      <c r="AI117" s="78" t="s">
        <v>114</v>
      </c>
      <c r="AJ117" s="78" t="s">
        <v>120</v>
      </c>
      <c r="AK117" s="136" t="str">
        <f t="shared" si="99"/>
        <v>ALTO</v>
      </c>
      <c r="AL117" s="80" t="str">
        <f>VLOOKUP($AD117,[20]Tipologías!$B$3:$G$17,2,FALSE)</f>
        <v>ALTO</v>
      </c>
      <c r="AM117" s="80">
        <f t="shared" si="52"/>
        <v>3</v>
      </c>
      <c r="AN117" s="80" t="str">
        <f>VLOOKUP($AE117,[20]Tipologías!$A$21:$C$24,3,FALSE)</f>
        <v>ALTO</v>
      </c>
      <c r="AO117" s="80">
        <f t="shared" si="53"/>
        <v>3</v>
      </c>
      <c r="AP117" s="80">
        <f>VLOOKUP($AI117,[20]Tipologías!$A$38:$B$42,2,FALSE)</f>
        <v>1.5</v>
      </c>
      <c r="AQ117" s="80">
        <f>VLOOKUP($AJ117,[20]Tipologías!$A$46:$B$53,2,FALSE)</f>
        <v>1.5</v>
      </c>
      <c r="AR117" s="80" t="str">
        <f t="shared" si="100"/>
        <v>ALTO</v>
      </c>
      <c r="AS117" s="80" t="str">
        <f>VLOOKUP($AG117,[20]Tipologías!$A$29:$C$33,3,FALSE)</f>
        <v>MEDIO</v>
      </c>
      <c r="AT117" s="80" t="str">
        <f t="shared" si="101"/>
        <v>ALTO</v>
      </c>
      <c r="AU117" s="80" t="str">
        <f t="shared" si="102"/>
        <v>ALTO</v>
      </c>
      <c r="AV117" s="80" t="str">
        <f>_xlfn.IFNA(VLOOKUP(AD117,[20]Tipologías!$B$3:$G$17,4,0),"")</f>
        <v>INFORMACIÓN PÚBLICA CLASIFICADA</v>
      </c>
      <c r="AW117" s="80" t="str">
        <f t="shared" si="103"/>
        <v>IPC</v>
      </c>
      <c r="AX117" s="80" t="str">
        <f>_xlfn.IFNA(VLOOKUP(AD117,[20]Tipologías!$B$3:$G$17,3,0),"")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7" s="80" t="str">
        <f>_xlfn.IFNA(VLOOKUP(AD117,[20]Tipologías!$B$3:$G$17,5,0),"")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7" s="80" t="str">
        <f>_xlfn.IFNA(VLOOKUP(AD117,[20]Tipologías!$B$3:$G$17,6,0),"")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7" s="76" t="s">
        <v>196</v>
      </c>
      <c r="BB117" s="215">
        <v>45229</v>
      </c>
      <c r="BC117" s="76" t="s">
        <v>201</v>
      </c>
      <c r="BD117" s="78" t="s">
        <v>798</v>
      </c>
      <c r="BE117" s="78" t="s">
        <v>799</v>
      </c>
      <c r="BF117" s="45"/>
      <c r="BG117" s="45"/>
      <c r="BH117" s="45"/>
      <c r="BI117" s="45"/>
      <c r="BJ117" s="45"/>
      <c r="BK117" s="45"/>
      <c r="BL117" s="45"/>
      <c r="BM117" s="45"/>
      <c r="BN117" s="45"/>
      <c r="BO117" s="45"/>
      <c r="BP117" s="45"/>
      <c r="BQ117" s="45"/>
      <c r="BR117" s="45"/>
      <c r="BS117" s="45"/>
      <c r="BT117" s="45"/>
      <c r="BU117" s="45"/>
      <c r="BV117" s="45"/>
      <c r="BW117" s="45"/>
      <c r="BX117" s="45"/>
    </row>
    <row r="118" spans="1:76" s="67" customFormat="1" ht="207.2" customHeight="1" x14ac:dyDescent="0.2">
      <c r="A118" s="76">
        <v>109</v>
      </c>
      <c r="B118" s="74" t="s">
        <v>62</v>
      </c>
      <c r="C118" s="74" t="s">
        <v>307</v>
      </c>
      <c r="D118" s="100" t="s">
        <v>284</v>
      </c>
      <c r="E118" s="109" t="s">
        <v>819</v>
      </c>
      <c r="F118" s="110" t="s">
        <v>820</v>
      </c>
      <c r="G118" s="74" t="s">
        <v>174</v>
      </c>
      <c r="H118" s="75" t="s">
        <v>284</v>
      </c>
      <c r="I118" s="75" t="s">
        <v>284</v>
      </c>
      <c r="J118" s="107" t="s">
        <v>336</v>
      </c>
      <c r="K118" s="100" t="s">
        <v>320</v>
      </c>
      <c r="L118" s="75" t="s">
        <v>321</v>
      </c>
      <c r="M118" s="75" t="s">
        <v>805</v>
      </c>
      <c r="N118" s="75" t="s">
        <v>796</v>
      </c>
      <c r="O118" s="75" t="s">
        <v>151</v>
      </c>
      <c r="P118" s="100" t="s">
        <v>195</v>
      </c>
      <c r="Q118" s="76" t="s">
        <v>325</v>
      </c>
      <c r="R118" s="100" t="s">
        <v>195</v>
      </c>
      <c r="S118" s="100" t="s">
        <v>195</v>
      </c>
      <c r="T118" s="100" t="s">
        <v>195</v>
      </c>
      <c r="U118" s="77" t="s">
        <v>328</v>
      </c>
      <c r="V118" s="77" t="s">
        <v>328</v>
      </c>
      <c r="W118" s="77" t="s">
        <v>329</v>
      </c>
      <c r="X118" s="77" t="s">
        <v>329</v>
      </c>
      <c r="Y118" s="77" t="s">
        <v>329</v>
      </c>
      <c r="Z118" s="77" t="s">
        <v>329</v>
      </c>
      <c r="AA118" s="77" t="s">
        <v>195</v>
      </c>
      <c r="AB118" s="77" t="s">
        <v>195</v>
      </c>
      <c r="AC118" s="79" t="s">
        <v>195</v>
      </c>
      <c r="AD118" s="78" t="s">
        <v>206</v>
      </c>
      <c r="AE118" s="78" t="s">
        <v>132</v>
      </c>
      <c r="AF118" s="136" t="str">
        <f t="shared" si="97"/>
        <v>ALTO</v>
      </c>
      <c r="AG118" s="78" t="s">
        <v>102</v>
      </c>
      <c r="AH118" s="136" t="str">
        <f t="shared" si="98"/>
        <v>MEDIO</v>
      </c>
      <c r="AI118" s="78" t="s">
        <v>114</v>
      </c>
      <c r="AJ118" s="78" t="s">
        <v>119</v>
      </c>
      <c r="AK118" s="136" t="str">
        <f t="shared" si="99"/>
        <v>ALTO</v>
      </c>
      <c r="AL118" s="80" t="str">
        <f>VLOOKUP($AD118,[20]Tipologías!$B$3:$G$17,2,FALSE)</f>
        <v>ALTO</v>
      </c>
      <c r="AM118" s="80">
        <f t="shared" si="52"/>
        <v>3</v>
      </c>
      <c r="AN118" s="80" t="str">
        <f>VLOOKUP($AE118,[20]Tipologías!$A$21:$C$24,3,FALSE)</f>
        <v>MEDIO</v>
      </c>
      <c r="AO118" s="80">
        <f t="shared" si="53"/>
        <v>2</v>
      </c>
      <c r="AP118" s="80">
        <f>VLOOKUP($AI118,[20]Tipologías!$A$38:$B$42,2,FALSE)</f>
        <v>1.5</v>
      </c>
      <c r="AQ118" s="80">
        <f>VLOOKUP($AJ118,[20]Tipologías!$A$46:$B$53,2,FALSE)</f>
        <v>2</v>
      </c>
      <c r="AR118" s="80" t="str">
        <f t="shared" si="100"/>
        <v>ALTO</v>
      </c>
      <c r="AS118" s="80" t="str">
        <f>VLOOKUP($AG118,[20]Tipologías!$A$29:$C$33,3,FALSE)</f>
        <v>MEDIO</v>
      </c>
      <c r="AT118" s="80" t="str">
        <f t="shared" si="101"/>
        <v>ALTO</v>
      </c>
      <c r="AU118" s="80" t="str">
        <f t="shared" si="102"/>
        <v>ALTO</v>
      </c>
      <c r="AV118" s="80" t="str">
        <f>_xlfn.IFNA(VLOOKUP(AD118,[20]Tipologías!$B$3:$G$17,4,0),"")</f>
        <v>INFORMACIÓN PÚBLICA CLASIFICADA</v>
      </c>
      <c r="AW118" s="80" t="str">
        <f t="shared" si="103"/>
        <v>IPC</v>
      </c>
      <c r="AX118" s="80" t="str">
        <f>_xlfn.IFNA(VLOOKUP(AD118,[20]Tipologías!$B$3:$G$17,3,0),"")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18" s="80" t="str">
        <f>_xlfn.IFNA(VLOOKUP(AD118,[20]Tipologías!$B$3:$G$17,5,0),"")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18" s="80" t="str">
        <f>_xlfn.IFNA(VLOOKUP(AD118,[20]Tipologías!$B$3:$G$17,6,0),"")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18" s="76" t="s">
        <v>196</v>
      </c>
      <c r="BB118" s="215">
        <v>45229</v>
      </c>
      <c r="BC118" s="76" t="s">
        <v>201</v>
      </c>
      <c r="BD118" s="78" t="s">
        <v>798</v>
      </c>
      <c r="BE118" s="78" t="s">
        <v>799</v>
      </c>
      <c r="BF118" s="45"/>
      <c r="BG118" s="45"/>
      <c r="BH118" s="45"/>
      <c r="BI118" s="45"/>
      <c r="BJ118" s="45"/>
      <c r="BK118" s="45"/>
      <c r="BL118" s="45"/>
      <c r="BM118" s="45"/>
      <c r="BN118" s="45"/>
      <c r="BO118" s="45"/>
      <c r="BP118" s="45"/>
      <c r="BQ118" s="45"/>
      <c r="BR118" s="45"/>
      <c r="BS118" s="45"/>
      <c r="BT118" s="45"/>
      <c r="BU118" s="45"/>
      <c r="BV118" s="45"/>
      <c r="BW118" s="45"/>
      <c r="BX118" s="45"/>
    </row>
    <row r="119" spans="1:76" s="67" customFormat="1" ht="207.2" customHeight="1" x14ac:dyDescent="0.2">
      <c r="A119" s="76">
        <v>110</v>
      </c>
      <c r="B119" s="74" t="s">
        <v>62</v>
      </c>
      <c r="C119" s="74" t="s">
        <v>307</v>
      </c>
      <c r="D119" s="100" t="s">
        <v>284</v>
      </c>
      <c r="E119" s="100" t="s">
        <v>821</v>
      </c>
      <c r="F119" s="75" t="s">
        <v>822</v>
      </c>
      <c r="G119" s="74" t="s">
        <v>199</v>
      </c>
      <c r="H119" s="75" t="s">
        <v>284</v>
      </c>
      <c r="I119" s="75" t="s">
        <v>284</v>
      </c>
      <c r="J119" s="107" t="s">
        <v>319</v>
      </c>
      <c r="K119" s="100" t="s">
        <v>320</v>
      </c>
      <c r="L119" s="75" t="s">
        <v>321</v>
      </c>
      <c r="M119" s="75" t="s">
        <v>823</v>
      </c>
      <c r="N119" s="75" t="s">
        <v>195</v>
      </c>
      <c r="O119" s="75" t="s">
        <v>151</v>
      </c>
      <c r="P119" s="157" t="s">
        <v>813</v>
      </c>
      <c r="Q119" s="76" t="s">
        <v>325</v>
      </c>
      <c r="R119" s="76"/>
      <c r="S119" s="100" t="s">
        <v>195</v>
      </c>
      <c r="T119" s="100" t="s">
        <v>195</v>
      </c>
      <c r="U119" s="77" t="s">
        <v>329</v>
      </c>
      <c r="V119" s="77" t="s">
        <v>195</v>
      </c>
      <c r="W119" s="77" t="s">
        <v>195</v>
      </c>
      <c r="X119" s="77" t="s">
        <v>195</v>
      </c>
      <c r="Y119" s="77" t="s">
        <v>195</v>
      </c>
      <c r="Z119" s="77" t="s">
        <v>195</v>
      </c>
      <c r="AA119" s="77" t="s">
        <v>195</v>
      </c>
      <c r="AB119" s="77" t="s">
        <v>195</v>
      </c>
      <c r="AC119" s="79" t="s">
        <v>195</v>
      </c>
      <c r="AD119" s="78" t="s">
        <v>208</v>
      </c>
      <c r="AE119" s="78" t="s">
        <v>132</v>
      </c>
      <c r="AF119" s="136" t="str">
        <f t="shared" si="97"/>
        <v>ALTO</v>
      </c>
      <c r="AG119" s="78" t="s">
        <v>104</v>
      </c>
      <c r="AH119" s="136" t="str">
        <f t="shared" si="98"/>
        <v>ALTO</v>
      </c>
      <c r="AI119" s="78" t="s">
        <v>114</v>
      </c>
      <c r="AJ119" s="78" t="s">
        <v>117</v>
      </c>
      <c r="AK119" s="136" t="str">
        <f t="shared" si="99"/>
        <v>ALTO</v>
      </c>
      <c r="AL119" s="80" t="str">
        <f>VLOOKUP($AD119,[20]Tipologías!$B$3:$G$17,2,FALSE)</f>
        <v>ALTO</v>
      </c>
      <c r="AM119" s="80">
        <f t="shared" si="52"/>
        <v>3</v>
      </c>
      <c r="AN119" s="80" t="str">
        <f>VLOOKUP($AE119,[20]Tipologías!$A$21:$C$24,3,FALSE)</f>
        <v>MEDIO</v>
      </c>
      <c r="AO119" s="80">
        <f t="shared" si="53"/>
        <v>2</v>
      </c>
      <c r="AP119" s="80">
        <f>VLOOKUP($AI119,[20]Tipologías!$A$38:$B$42,2,FALSE)</f>
        <v>1.5</v>
      </c>
      <c r="AQ119" s="80">
        <f>VLOOKUP($AJ119,[20]Tipologías!$A$46:$B$53,2,FALSE)</f>
        <v>2.5</v>
      </c>
      <c r="AR119" s="80" t="str">
        <f t="shared" si="100"/>
        <v>ALTO</v>
      </c>
      <c r="AS119" s="80" t="str">
        <f>VLOOKUP($AG119,[20]Tipologías!$A$29:$C$33,3,FALSE)</f>
        <v>ALTO</v>
      </c>
      <c r="AT119" s="80" t="str">
        <f t="shared" si="101"/>
        <v>ALTO</v>
      </c>
      <c r="AU119" s="80" t="str">
        <f t="shared" si="102"/>
        <v>ALTO</v>
      </c>
      <c r="AV119" s="80" t="str">
        <f>_xlfn.IFNA(VLOOKUP(AD119,[20]Tipologías!$B$3:$G$17,4,0),"")</f>
        <v>INFORMACIÓN PÚBLICA CLASIFICADA</v>
      </c>
      <c r="AW119" s="80" t="str">
        <f t="shared" si="103"/>
        <v>IPC</v>
      </c>
      <c r="AX119" s="80" t="str">
        <f>_xlfn.IFNA(VLOOKUP(AD119,[20]Tipologías!$B$3:$G$17,3,0),"")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19" s="80" t="str">
        <f>_xlfn.IFNA(VLOOKUP(AD119,[20]Tipologías!$B$3:$G$17,5,0),"")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19" s="80" t="str">
        <f>_xlfn.IFNA(VLOOKUP(AD119,[20]Tipologías!$B$3:$G$17,6,0),"")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19" s="76" t="s">
        <v>196</v>
      </c>
      <c r="BB119" s="215">
        <v>45229</v>
      </c>
      <c r="BC119" s="76" t="s">
        <v>201</v>
      </c>
      <c r="BD119" s="78" t="s">
        <v>798</v>
      </c>
      <c r="BE119" s="78" t="s">
        <v>799</v>
      </c>
      <c r="BF119" s="45"/>
      <c r="BG119" s="45"/>
      <c r="BH119" s="45"/>
      <c r="BI119" s="45"/>
      <c r="BJ119" s="45"/>
      <c r="BK119" s="45"/>
      <c r="BL119" s="45"/>
      <c r="BM119" s="45"/>
      <c r="BN119" s="45"/>
      <c r="BO119" s="45"/>
      <c r="BP119" s="45"/>
      <c r="BQ119" s="45"/>
      <c r="BR119" s="45"/>
      <c r="BS119" s="45"/>
      <c r="BT119" s="45"/>
      <c r="BU119" s="45"/>
      <c r="BV119" s="45"/>
      <c r="BW119" s="45"/>
      <c r="BX119" s="45"/>
    </row>
    <row r="120" spans="1:76" s="67" customFormat="1" ht="207.2" customHeight="1" x14ac:dyDescent="0.2">
      <c r="A120" s="76">
        <v>111</v>
      </c>
      <c r="B120" s="74" t="s">
        <v>62</v>
      </c>
      <c r="C120" s="74" t="s">
        <v>307</v>
      </c>
      <c r="D120" s="100" t="s">
        <v>284</v>
      </c>
      <c r="E120" s="100" t="s">
        <v>824</v>
      </c>
      <c r="F120" s="75" t="s">
        <v>825</v>
      </c>
      <c r="G120" s="74" t="s">
        <v>205</v>
      </c>
      <c r="H120" s="75" t="s">
        <v>284</v>
      </c>
      <c r="I120" s="75" t="s">
        <v>284</v>
      </c>
      <c r="J120" s="107" t="s">
        <v>336</v>
      </c>
      <c r="K120" s="100" t="s">
        <v>320</v>
      </c>
      <c r="L120" s="75" t="s">
        <v>321</v>
      </c>
      <c r="M120" s="75" t="s">
        <v>823</v>
      </c>
      <c r="N120" s="75" t="s">
        <v>826</v>
      </c>
      <c r="O120" s="75" t="s">
        <v>151</v>
      </c>
      <c r="P120" s="157" t="s">
        <v>195</v>
      </c>
      <c r="Q120" s="76" t="s">
        <v>325</v>
      </c>
      <c r="R120" s="76"/>
      <c r="S120" s="100" t="s">
        <v>195</v>
      </c>
      <c r="T120" s="100" t="s">
        <v>195</v>
      </c>
      <c r="U120" s="77" t="s">
        <v>328</v>
      </c>
      <c r="V120" s="77" t="s">
        <v>328</v>
      </c>
      <c r="W120" s="77" t="s">
        <v>328</v>
      </c>
      <c r="X120" s="77" t="s">
        <v>328</v>
      </c>
      <c r="Y120" s="77" t="s">
        <v>328</v>
      </c>
      <c r="Z120" s="77" t="s">
        <v>328</v>
      </c>
      <c r="AA120" s="77" t="s">
        <v>195</v>
      </c>
      <c r="AB120" s="77" t="s">
        <v>195</v>
      </c>
      <c r="AC120" s="79" t="s">
        <v>195</v>
      </c>
      <c r="AD120" s="78" t="s">
        <v>208</v>
      </c>
      <c r="AE120" s="78" t="s">
        <v>132</v>
      </c>
      <c r="AF120" s="136" t="str">
        <f t="shared" si="97"/>
        <v>ALTO</v>
      </c>
      <c r="AG120" s="78" t="s">
        <v>104</v>
      </c>
      <c r="AH120" s="136" t="str">
        <f t="shared" si="98"/>
        <v>ALTO</v>
      </c>
      <c r="AI120" s="78" t="s">
        <v>114</v>
      </c>
      <c r="AJ120" s="78" t="s">
        <v>117</v>
      </c>
      <c r="AK120" s="136" t="str">
        <f t="shared" si="99"/>
        <v>ALTO</v>
      </c>
      <c r="AL120" s="80" t="str">
        <f>VLOOKUP($AD120,[20]Tipologías!$B$3:$G$17,2,FALSE)</f>
        <v>ALTO</v>
      </c>
      <c r="AM120" s="80">
        <f t="shared" si="52"/>
        <v>3</v>
      </c>
      <c r="AN120" s="80" t="str">
        <f>VLOOKUP($AE120,[20]Tipologías!$A$21:$C$24,3,FALSE)</f>
        <v>MEDIO</v>
      </c>
      <c r="AO120" s="80">
        <f t="shared" si="53"/>
        <v>2</v>
      </c>
      <c r="AP120" s="80">
        <f>VLOOKUP($AI120,[20]Tipologías!$A$38:$B$42,2,FALSE)</f>
        <v>1.5</v>
      </c>
      <c r="AQ120" s="80">
        <f>VLOOKUP($AJ120,[20]Tipologías!$A$46:$B$53,2,FALSE)</f>
        <v>2.5</v>
      </c>
      <c r="AR120" s="80" t="str">
        <f t="shared" si="100"/>
        <v>ALTO</v>
      </c>
      <c r="AS120" s="80" t="str">
        <f>VLOOKUP($AG120,[20]Tipologías!$A$29:$C$33,3,FALSE)</f>
        <v>ALTO</v>
      </c>
      <c r="AT120" s="80" t="str">
        <f t="shared" si="101"/>
        <v>ALTO</v>
      </c>
      <c r="AU120" s="80" t="str">
        <f t="shared" si="102"/>
        <v>ALTO</v>
      </c>
      <c r="AV120" s="80" t="str">
        <f>_xlfn.IFNA(VLOOKUP(AD120,[20]Tipologías!$B$3:$G$17,4,0),"")</f>
        <v>INFORMACIÓN PÚBLICA CLASIFICADA</v>
      </c>
      <c r="AW120" s="80" t="str">
        <f t="shared" si="103"/>
        <v>IPC</v>
      </c>
      <c r="AX120" s="80" t="str">
        <f>_xlfn.IFNA(VLOOKUP(AD120,[20]Tipologías!$B$3:$G$17,3,0),"")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20" s="80" t="str">
        <f>_xlfn.IFNA(VLOOKUP(AD120,[20]Tipologías!$B$3:$G$17,5,0),"")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20" s="80" t="str">
        <f>_xlfn.IFNA(VLOOKUP(AD120,[20]Tipologías!$B$3:$G$17,6,0),"")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20" s="76" t="s">
        <v>196</v>
      </c>
      <c r="BB120" s="215">
        <v>45229</v>
      </c>
      <c r="BC120" s="76" t="s">
        <v>201</v>
      </c>
      <c r="BD120" s="78" t="s">
        <v>798</v>
      </c>
      <c r="BE120" s="78" t="s">
        <v>799</v>
      </c>
      <c r="BF120" s="45"/>
      <c r="BG120" s="45"/>
      <c r="BH120" s="45"/>
      <c r="BI120" s="45"/>
      <c r="BJ120" s="45"/>
      <c r="BK120" s="45"/>
      <c r="BL120" s="45"/>
      <c r="BM120" s="45"/>
      <c r="BN120" s="45"/>
      <c r="BO120" s="45"/>
      <c r="BP120" s="45"/>
      <c r="BQ120" s="45"/>
      <c r="BR120" s="45"/>
      <c r="BS120" s="45"/>
      <c r="BT120" s="45"/>
      <c r="BU120" s="45"/>
      <c r="BV120" s="45"/>
      <c r="BW120" s="45"/>
      <c r="BX120" s="45"/>
    </row>
    <row r="121" spans="1:76" s="67" customFormat="1" ht="207.2" customHeight="1" x14ac:dyDescent="0.2">
      <c r="A121" s="76">
        <v>112</v>
      </c>
      <c r="B121" s="107" t="s">
        <v>62</v>
      </c>
      <c r="C121" s="107" t="s">
        <v>162</v>
      </c>
      <c r="D121" s="100" t="s">
        <v>278</v>
      </c>
      <c r="E121" s="197" t="s">
        <v>827</v>
      </c>
      <c r="F121" s="198" t="s">
        <v>828</v>
      </c>
      <c r="G121" s="107" t="s">
        <v>173</v>
      </c>
      <c r="H121" s="100" t="s">
        <v>510</v>
      </c>
      <c r="I121" s="100" t="s">
        <v>510</v>
      </c>
      <c r="J121" s="107"/>
      <c r="K121" s="100" t="s">
        <v>320</v>
      </c>
      <c r="L121" s="100"/>
      <c r="M121" s="100" t="s">
        <v>195</v>
      </c>
      <c r="N121" s="100" t="s">
        <v>195</v>
      </c>
      <c r="O121" s="100"/>
      <c r="P121" s="100" t="s">
        <v>195</v>
      </c>
      <c r="Q121" s="76" t="s">
        <v>325</v>
      </c>
      <c r="R121" s="100" t="s">
        <v>195</v>
      </c>
      <c r="S121" s="100" t="s">
        <v>195</v>
      </c>
      <c r="T121" s="100" t="s">
        <v>195</v>
      </c>
      <c r="U121" s="77"/>
      <c r="V121" s="77" t="s">
        <v>195</v>
      </c>
      <c r="W121" s="77" t="s">
        <v>195</v>
      </c>
      <c r="X121" s="77" t="s">
        <v>195</v>
      </c>
      <c r="Y121" s="77" t="s">
        <v>195</v>
      </c>
      <c r="Z121" s="77" t="s">
        <v>195</v>
      </c>
      <c r="AA121" s="77" t="s">
        <v>195</v>
      </c>
      <c r="AB121" s="77" t="s">
        <v>195</v>
      </c>
      <c r="AC121" s="138" t="s">
        <v>195</v>
      </c>
      <c r="AD121" s="78" t="s">
        <v>89</v>
      </c>
      <c r="AE121" s="78" t="s">
        <v>130</v>
      </c>
      <c r="AF121" s="136" t="str">
        <f t="shared" si="97"/>
        <v>BAJO</v>
      </c>
      <c r="AG121" s="78" t="s">
        <v>101</v>
      </c>
      <c r="AH121" s="136" t="str">
        <f t="shared" si="98"/>
        <v>BAJO</v>
      </c>
      <c r="AI121" s="78" t="s">
        <v>111</v>
      </c>
      <c r="AJ121" s="78" t="s">
        <v>121</v>
      </c>
      <c r="AK121" s="136" t="str">
        <f t="shared" si="99"/>
        <v>BAJO</v>
      </c>
      <c r="AL121" s="80" t="str">
        <f>VLOOKUP($AD121,[21]Tipologías!$B$3:$G$17,2,FALSE)</f>
        <v>BAJO</v>
      </c>
      <c r="AM121" s="80">
        <f t="shared" si="52"/>
        <v>1</v>
      </c>
      <c r="AN121" s="80" t="str">
        <f>VLOOKUP($AE121,[21]Tipologías!$A$21:$C$24,3,FALSE)</f>
        <v>BAJO</v>
      </c>
      <c r="AO121" s="80">
        <f t="shared" si="53"/>
        <v>1</v>
      </c>
      <c r="AP121" s="80">
        <f>VLOOKUP($AI121,[21]Tipologías!$A$38:$B$42,2,FALSE)</f>
        <v>0.5</v>
      </c>
      <c r="AQ121" s="80">
        <f>VLOOKUP($AJ121,[21]Tipologías!$A$46:$B$53,2,FALSE)</f>
        <v>1.25</v>
      </c>
      <c r="AR121" s="80" t="str">
        <f t="shared" si="100"/>
        <v>BAJO</v>
      </c>
      <c r="AS121" s="80" t="str">
        <f>VLOOKUP($AG121,[21]Tipologías!$A$29:$C$33,3,FALSE)</f>
        <v>BAJO</v>
      </c>
      <c r="AT121" s="80" t="str">
        <f t="shared" si="101"/>
        <v>BAJO</v>
      </c>
      <c r="AU121" s="80" t="str">
        <f t="shared" si="102"/>
        <v>BAJO</v>
      </c>
      <c r="AV121" s="80" t="str">
        <f>_xlfn.IFNA(VLOOKUP(AD121,[21]Tipologías!$B$3:$G$17,4,0),"")</f>
        <v>INFORMACIÓN PÚBLICA</v>
      </c>
      <c r="AW121" s="80" t="str">
        <f t="shared" si="103"/>
        <v>IPB</v>
      </c>
      <c r="AX121" s="80" t="str">
        <f>_xlfn.IFNA(VLOOKUP(AD121,[21]Tipologías!$B$3:$G$17,3,0),"")</f>
        <v>LEY 1712 DE 2014 LEY DE TRANSPARENCIA Y DERECHO DE ACCESO A LA INFORMACIÓN. ARTÍCULO 6 DEFINICIONES LITERAL B.</v>
      </c>
      <c r="AY121" s="80" t="str">
        <f>_xlfn.IFNA(VLOOKUP(AD121,[21]Tipologías!$B$3:$G$17,5,0),"")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1" s="80" t="str">
        <f>_xlfn.IFNA(VLOOKUP(AD121,[21]Tipologías!$B$3:$G$17,6,0),"")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1" s="76"/>
      <c r="BB121" s="215">
        <v>45105</v>
      </c>
      <c r="BC121" s="76" t="s">
        <v>195</v>
      </c>
      <c r="BD121" s="78" t="s">
        <v>854</v>
      </c>
      <c r="BE121" s="78" t="s">
        <v>855</v>
      </c>
      <c r="BF121" s="45"/>
      <c r="BG121" s="45"/>
      <c r="BH121" s="45"/>
      <c r="BI121" s="45"/>
      <c r="BJ121" s="45"/>
      <c r="BK121" s="45"/>
      <c r="BL121" s="45"/>
      <c r="BM121" s="45"/>
      <c r="BN121" s="45"/>
      <c r="BO121" s="45"/>
      <c r="BP121" s="45"/>
      <c r="BQ121" s="45"/>
      <c r="BR121" s="45"/>
      <c r="BS121" s="45"/>
      <c r="BT121" s="45"/>
      <c r="BU121" s="45"/>
      <c r="BV121" s="45"/>
      <c r="BW121" s="45"/>
      <c r="BX121" s="45"/>
    </row>
    <row r="122" spans="1:76" s="67" customFormat="1" ht="207.2" customHeight="1" x14ac:dyDescent="0.2">
      <c r="A122" s="76">
        <v>113</v>
      </c>
      <c r="B122" s="107" t="s">
        <v>62</v>
      </c>
      <c r="C122" s="107" t="s">
        <v>162</v>
      </c>
      <c r="D122" s="100" t="s">
        <v>278</v>
      </c>
      <c r="E122" s="199" t="s">
        <v>586</v>
      </c>
      <c r="F122" s="200" t="s">
        <v>829</v>
      </c>
      <c r="G122" s="107" t="s">
        <v>205</v>
      </c>
      <c r="H122" s="100" t="s">
        <v>510</v>
      </c>
      <c r="I122" s="100" t="s">
        <v>830</v>
      </c>
      <c r="J122" s="107" t="s">
        <v>319</v>
      </c>
      <c r="K122" s="100" t="s">
        <v>320</v>
      </c>
      <c r="L122" s="100" t="s">
        <v>321</v>
      </c>
      <c r="M122" s="100" t="s">
        <v>831</v>
      </c>
      <c r="N122" s="100" t="s">
        <v>832</v>
      </c>
      <c r="O122" s="100" t="s">
        <v>151</v>
      </c>
      <c r="P122" s="100" t="s">
        <v>833</v>
      </c>
      <c r="Q122" s="76" t="s">
        <v>325</v>
      </c>
      <c r="R122" s="76" t="s">
        <v>325</v>
      </c>
      <c r="S122" s="100" t="s">
        <v>195</v>
      </c>
      <c r="T122" s="100" t="s">
        <v>195</v>
      </c>
      <c r="U122" s="77" t="s">
        <v>328</v>
      </c>
      <c r="V122" s="77" t="s">
        <v>328</v>
      </c>
      <c r="W122" s="77" t="s">
        <v>328</v>
      </c>
      <c r="X122" s="77" t="s">
        <v>328</v>
      </c>
      <c r="Y122" s="77" t="s">
        <v>328</v>
      </c>
      <c r="Z122" s="77" t="s">
        <v>328</v>
      </c>
      <c r="AA122" s="77" t="s">
        <v>195</v>
      </c>
      <c r="AB122" s="77" t="s">
        <v>195</v>
      </c>
      <c r="AC122" s="138" t="s">
        <v>195</v>
      </c>
      <c r="AD122" s="77" t="s">
        <v>89</v>
      </c>
      <c r="AE122" s="77" t="s">
        <v>132</v>
      </c>
      <c r="AF122" s="136" t="str">
        <f t="shared" si="97"/>
        <v>MEDIO</v>
      </c>
      <c r="AG122" s="78" t="s">
        <v>104</v>
      </c>
      <c r="AH122" s="136" t="str">
        <f t="shared" si="98"/>
        <v>ALTO</v>
      </c>
      <c r="AI122" s="78" t="s">
        <v>115</v>
      </c>
      <c r="AJ122" s="78" t="s">
        <v>123</v>
      </c>
      <c r="AK122" s="136" t="str">
        <f t="shared" si="99"/>
        <v>MEDIO</v>
      </c>
      <c r="AL122" s="201" t="str">
        <f>VLOOKUP($AD122,[21]Tipologías!$B$3:$G$17,2,FALSE)</f>
        <v>BAJO</v>
      </c>
      <c r="AM122" s="80">
        <f t="shared" si="52"/>
        <v>1</v>
      </c>
      <c r="AN122" s="80" t="str">
        <f>VLOOKUP($AE122,[21]Tipologías!$A$21:$C$24,3,FALSE)</f>
        <v>MEDIO</v>
      </c>
      <c r="AO122" s="80">
        <f t="shared" si="53"/>
        <v>2</v>
      </c>
      <c r="AP122" s="80">
        <f>VLOOKUP($AI122,[21]Tipologías!$A$38:$B$42,2,FALSE)</f>
        <v>2</v>
      </c>
      <c r="AQ122" s="80">
        <f>VLOOKUP($AJ122,[21]Tipologías!$A$46:$B$53,2,FALSE)</f>
        <v>0.5</v>
      </c>
      <c r="AR122" s="80" t="str">
        <f t="shared" si="100"/>
        <v>MEDIO</v>
      </c>
      <c r="AS122" s="80" t="str">
        <f>VLOOKUP($AG122,[21]Tipologías!$A$29:$C$33,3,FALSE)</f>
        <v>ALTO</v>
      </c>
      <c r="AT122" s="80" t="str">
        <f t="shared" si="101"/>
        <v>MEDIO</v>
      </c>
      <c r="AU122" s="80" t="str">
        <f t="shared" si="102"/>
        <v>MEDIO</v>
      </c>
      <c r="AV122" s="80" t="str">
        <f>_xlfn.IFNA(VLOOKUP(AD122,[21]Tipologías!$B$3:$G$17,4,0),"")</f>
        <v>INFORMACIÓN PÚBLICA</v>
      </c>
      <c r="AW122" s="80" t="str">
        <f t="shared" si="103"/>
        <v>IPB</v>
      </c>
      <c r="AX122" s="80" t="str">
        <f>_xlfn.IFNA(VLOOKUP(AD122,[21]Tipologías!$B$3:$G$17,3,0),"")</f>
        <v>LEY 1712 DE 2014 LEY DE TRANSPARENCIA Y DERECHO DE ACCESO A LA INFORMACIÓN. ARTÍCULO 6 DEFINICIONES LITERAL B.</v>
      </c>
      <c r="AY122" s="80" t="str">
        <f>_xlfn.IFNA(VLOOKUP(AD122,[21]Tipologías!$B$3:$G$17,5,0),"")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2" s="80" t="str">
        <f>_xlfn.IFNA(VLOOKUP(AD122,[21]Tipologías!$B$3:$G$17,6,0),"")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2" s="77" t="s">
        <v>197</v>
      </c>
      <c r="BB122" s="215">
        <v>45105</v>
      </c>
      <c r="BC122" s="76" t="s">
        <v>201</v>
      </c>
      <c r="BD122" s="78" t="s">
        <v>854</v>
      </c>
      <c r="BE122" s="78" t="s">
        <v>855</v>
      </c>
      <c r="BF122" s="45"/>
      <c r="BG122" s="45"/>
      <c r="BH122" s="45"/>
      <c r="BI122" s="45"/>
      <c r="BJ122" s="45"/>
      <c r="BK122" s="45"/>
      <c r="BL122" s="45"/>
      <c r="BM122" s="45"/>
      <c r="BN122" s="45"/>
      <c r="BO122" s="45"/>
      <c r="BP122" s="45"/>
      <c r="BQ122" s="45"/>
      <c r="BR122" s="45"/>
      <c r="BS122" s="45"/>
      <c r="BT122" s="45"/>
      <c r="BU122" s="45"/>
      <c r="BV122" s="45"/>
      <c r="BW122" s="45"/>
      <c r="BX122" s="45"/>
    </row>
    <row r="123" spans="1:76" s="67" customFormat="1" ht="207.2" customHeight="1" x14ac:dyDescent="0.2">
      <c r="A123" s="76">
        <v>114</v>
      </c>
      <c r="B123" s="107" t="s">
        <v>62</v>
      </c>
      <c r="C123" s="107" t="s">
        <v>162</v>
      </c>
      <c r="D123" s="100" t="s">
        <v>278</v>
      </c>
      <c r="E123" s="199" t="s">
        <v>834</v>
      </c>
      <c r="F123" s="200" t="s">
        <v>829</v>
      </c>
      <c r="G123" s="107" t="s">
        <v>205</v>
      </c>
      <c r="H123" s="100" t="s">
        <v>510</v>
      </c>
      <c r="I123" s="100" t="s">
        <v>830</v>
      </c>
      <c r="J123" s="107" t="s">
        <v>319</v>
      </c>
      <c r="K123" s="100" t="s">
        <v>320</v>
      </c>
      <c r="L123" s="100" t="s">
        <v>321</v>
      </c>
      <c r="M123" s="100" t="s">
        <v>831</v>
      </c>
      <c r="N123" s="100" t="s">
        <v>835</v>
      </c>
      <c r="O123" s="100" t="s">
        <v>151</v>
      </c>
      <c r="P123" s="100" t="s">
        <v>833</v>
      </c>
      <c r="Q123" s="76" t="s">
        <v>325</v>
      </c>
      <c r="R123" s="76" t="s">
        <v>325</v>
      </c>
      <c r="S123" s="100" t="s">
        <v>195</v>
      </c>
      <c r="T123" s="100" t="s">
        <v>195</v>
      </c>
      <c r="U123" s="77" t="s">
        <v>328</v>
      </c>
      <c r="V123" s="77" t="s">
        <v>328</v>
      </c>
      <c r="W123" s="77" t="s">
        <v>329</v>
      </c>
      <c r="X123" s="77" t="s">
        <v>328</v>
      </c>
      <c r="Y123" s="77" t="s">
        <v>328</v>
      </c>
      <c r="Z123" s="77" t="s">
        <v>329</v>
      </c>
      <c r="AA123" s="77" t="s">
        <v>195</v>
      </c>
      <c r="AB123" s="77" t="s">
        <v>195</v>
      </c>
      <c r="AC123" s="138" t="s">
        <v>195</v>
      </c>
      <c r="AD123" s="77" t="s">
        <v>206</v>
      </c>
      <c r="AE123" s="77" t="s">
        <v>130</v>
      </c>
      <c r="AF123" s="136" t="str">
        <f t="shared" si="97"/>
        <v>ALTO</v>
      </c>
      <c r="AG123" s="78" t="s">
        <v>104</v>
      </c>
      <c r="AH123" s="136" t="str">
        <f t="shared" si="98"/>
        <v>ALTO</v>
      </c>
      <c r="AI123" s="78" t="s">
        <v>113</v>
      </c>
      <c r="AJ123" s="78" t="s">
        <v>124</v>
      </c>
      <c r="AK123" s="136" t="str">
        <f t="shared" si="99"/>
        <v>BAJO</v>
      </c>
      <c r="AL123" s="80" t="str">
        <f>VLOOKUP($AD123,[21]Tipologías!$B$3:$G$17,2,FALSE)</f>
        <v>ALTO</v>
      </c>
      <c r="AM123" s="80">
        <f t="shared" si="52"/>
        <v>3</v>
      </c>
      <c r="AN123" s="80" t="str">
        <f>VLOOKUP($AE123,[21]Tipologías!$A$21:$C$24,3,FALSE)</f>
        <v>BAJO</v>
      </c>
      <c r="AO123" s="80">
        <f t="shared" si="53"/>
        <v>1</v>
      </c>
      <c r="AP123" s="80">
        <f>VLOOKUP($AI123,[21]Tipologías!$A$38:$B$42,2,FALSE)</f>
        <v>1</v>
      </c>
      <c r="AQ123" s="80">
        <f>VLOOKUP($AJ123,[21]Tipologías!$A$46:$B$53,2,FALSE)</f>
        <v>0.25</v>
      </c>
      <c r="AR123" s="80" t="str">
        <f t="shared" si="100"/>
        <v>ALTO</v>
      </c>
      <c r="AS123" s="80" t="str">
        <f>VLOOKUP($AG123,[21]Tipologías!$A$29:$C$33,3,FALSE)</f>
        <v>ALTO</v>
      </c>
      <c r="AT123" s="80" t="str">
        <f t="shared" si="101"/>
        <v>BAJO</v>
      </c>
      <c r="AU123" s="80" t="str">
        <f t="shared" si="102"/>
        <v>ALTO</v>
      </c>
      <c r="AV123" s="80" t="str">
        <f>_xlfn.IFNA(VLOOKUP(AD123,[21]Tipologías!$B$3:$G$17,4,0),"")</f>
        <v>INFORMACIÓN PÚBLICA CLASIFICADA</v>
      </c>
      <c r="AW123" s="80" t="str">
        <f t="shared" si="103"/>
        <v>IPC</v>
      </c>
      <c r="AX123" s="80" t="str">
        <f>_xlfn.IFNA(VLOOKUP(AD123,[21]Tipologías!$B$3:$G$17,3,0),"")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23" s="80" t="str">
        <f>_xlfn.IFNA(VLOOKUP(AD123,[21]Tipologías!$B$3:$G$17,5,0),"")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23" s="80" t="str">
        <f>_xlfn.IFNA(VLOOKUP(AD123,[21]Tipologías!$B$3:$G$17,6,0),"")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23" s="77" t="s">
        <v>197</v>
      </c>
      <c r="BB123" s="215">
        <v>45105</v>
      </c>
      <c r="BC123" s="76" t="s">
        <v>201</v>
      </c>
      <c r="BD123" s="78" t="s">
        <v>854</v>
      </c>
      <c r="BE123" s="78" t="s">
        <v>855</v>
      </c>
      <c r="BF123" s="45"/>
      <c r="BG123" s="45"/>
      <c r="BH123" s="45"/>
      <c r="BI123" s="45"/>
      <c r="BJ123" s="45"/>
      <c r="BK123" s="45"/>
      <c r="BL123" s="45"/>
      <c r="BM123" s="45"/>
      <c r="BN123" s="45"/>
      <c r="BO123" s="45"/>
      <c r="BP123" s="45"/>
      <c r="BQ123" s="45"/>
      <c r="BR123" s="45"/>
      <c r="BS123" s="45"/>
      <c r="BT123" s="45"/>
      <c r="BU123" s="45"/>
      <c r="BV123" s="45"/>
      <c r="BW123" s="45"/>
      <c r="BX123" s="45"/>
    </row>
    <row r="124" spans="1:76" s="67" customFormat="1" ht="207.2" customHeight="1" x14ac:dyDescent="0.2">
      <c r="A124" s="76">
        <v>115</v>
      </c>
      <c r="B124" s="107" t="s">
        <v>62</v>
      </c>
      <c r="C124" s="107" t="s">
        <v>162</v>
      </c>
      <c r="D124" s="100" t="s">
        <v>278</v>
      </c>
      <c r="E124" s="199" t="s">
        <v>836</v>
      </c>
      <c r="F124" s="200" t="s">
        <v>837</v>
      </c>
      <c r="G124" s="107" t="s">
        <v>205</v>
      </c>
      <c r="H124" s="100" t="s">
        <v>510</v>
      </c>
      <c r="I124" s="100" t="s">
        <v>284</v>
      </c>
      <c r="J124" s="107" t="s">
        <v>336</v>
      </c>
      <c r="K124" s="100" t="s">
        <v>320</v>
      </c>
      <c r="L124" s="100" t="s">
        <v>321</v>
      </c>
      <c r="M124" s="100" t="s">
        <v>195</v>
      </c>
      <c r="N124" s="100" t="s">
        <v>835</v>
      </c>
      <c r="O124" s="100" t="s">
        <v>144</v>
      </c>
      <c r="P124" s="100" t="s">
        <v>838</v>
      </c>
      <c r="Q124" s="76" t="s">
        <v>325</v>
      </c>
      <c r="R124" s="76" t="s">
        <v>325</v>
      </c>
      <c r="S124" s="100" t="s">
        <v>195</v>
      </c>
      <c r="T124" s="100" t="s">
        <v>195</v>
      </c>
      <c r="U124" s="77" t="s">
        <v>328</v>
      </c>
      <c r="V124" s="77" t="s">
        <v>328</v>
      </c>
      <c r="W124" s="77" t="s">
        <v>328</v>
      </c>
      <c r="X124" s="77" t="s">
        <v>328</v>
      </c>
      <c r="Y124" s="77" t="s">
        <v>328</v>
      </c>
      <c r="Z124" s="77" t="s">
        <v>328</v>
      </c>
      <c r="AA124" s="77" t="s">
        <v>195</v>
      </c>
      <c r="AB124" s="77" t="s">
        <v>195</v>
      </c>
      <c r="AC124" s="138" t="s">
        <v>195</v>
      </c>
      <c r="AD124" s="77" t="s">
        <v>206</v>
      </c>
      <c r="AE124" s="78" t="s">
        <v>132</v>
      </c>
      <c r="AF124" s="136" t="str">
        <f t="shared" si="97"/>
        <v>ALTO</v>
      </c>
      <c r="AG124" s="78" t="s">
        <v>104</v>
      </c>
      <c r="AH124" s="136" t="str">
        <f t="shared" si="98"/>
        <v>ALTO</v>
      </c>
      <c r="AI124" s="78" t="s">
        <v>114</v>
      </c>
      <c r="AJ124" s="78" t="s">
        <v>119</v>
      </c>
      <c r="AK124" s="136" t="str">
        <f t="shared" si="99"/>
        <v>ALTO</v>
      </c>
      <c r="AL124" s="80" t="str">
        <f>VLOOKUP($AD124,[21]Tipologías!$B$3:$G$17,2,FALSE)</f>
        <v>ALTO</v>
      </c>
      <c r="AM124" s="80">
        <f t="shared" si="52"/>
        <v>3</v>
      </c>
      <c r="AN124" s="80" t="str">
        <f>VLOOKUP($AE124,[21]Tipologías!$A$21:$C$24,3,FALSE)</f>
        <v>MEDIO</v>
      </c>
      <c r="AO124" s="80">
        <f t="shared" si="53"/>
        <v>2</v>
      </c>
      <c r="AP124" s="80">
        <f>VLOOKUP($AI124,[21]Tipologías!$A$38:$B$42,2,FALSE)</f>
        <v>1.5</v>
      </c>
      <c r="AQ124" s="80">
        <f>VLOOKUP($AJ124,[21]Tipologías!$A$46:$B$53,2,FALSE)</f>
        <v>2</v>
      </c>
      <c r="AR124" s="80" t="str">
        <f t="shared" si="100"/>
        <v>ALTO</v>
      </c>
      <c r="AS124" s="80" t="str">
        <f>VLOOKUP($AG124,[21]Tipologías!$A$29:$C$33,3,FALSE)</f>
        <v>ALTO</v>
      </c>
      <c r="AT124" s="80" t="str">
        <f t="shared" si="101"/>
        <v>ALTO</v>
      </c>
      <c r="AU124" s="80" t="str">
        <f t="shared" si="102"/>
        <v>ALTO</v>
      </c>
      <c r="AV124" s="80" t="str">
        <f>_xlfn.IFNA(VLOOKUP(AD124,[21]Tipologías!$B$3:$G$17,4,0),"")</f>
        <v>INFORMACIÓN PÚBLICA CLASIFICADA</v>
      </c>
      <c r="AW124" s="80" t="str">
        <f t="shared" si="103"/>
        <v>IPC</v>
      </c>
      <c r="AX124" s="80" t="str">
        <f>_xlfn.IFNA(VLOOKUP(AD124,[21]Tipologías!$B$3:$G$17,3,0),"")</f>
        <v xml:space="preserve">LEY 1712 DE 2014, ARTÍCULO 18 CORREGIDO POR EL ARTÍCULO 2 DEL DECRETO LEY 1494 DE 2015. INFORMACIÓN EXCEPTUADA POR DAÑO DE DERECHOS A PERSONAS NATURALES O JURÍDICAS. ES TODA AQUELLA INFORMACIÓN PÚBLICA CLASIFICADA, CUYO ACCESO PODRÁ SER RECHAZADO O DENEGADO DE MANERA MOTIVA Y POR ESCRITO, SIEMPRE QUE EL ACCESO PUDIERA CAUSAR UN DAÑO A LOS SIGUIENTES DERECHOS:
LITERAL A CORREGIDO POR EL ARTÍCULO 1 DECRETO NACIONAL 2199 DE 2015 "EL DERECHO DE TODA PERSONA A LA INTIMIDAD, BAJO LAS LIMITACIONES PROPIAS QUE IMPONE LA CONDICIÓN DE SERVIDOR PUBLICO, EN CONCORDANCIA CON LO ESTIPULADO POR EL ARTÍCULO 24 DE LA LEY 1437 DE 2011."  
</v>
      </c>
      <c r="AY124" s="80" t="str">
        <f>_xlfn.IFNA(VLOOKUP(AD124,[21]Tipologías!$B$3:$G$17,5,0),"")</f>
        <v xml:space="preserve">LEY 1712 DE 2014  ARTÍCULO 6 DEFINICIONES LITERAL C)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ARTÍCULO 24 LEY 1437 DE 2011 CPACA - SUSTITUIDO POR EL ARTÍCULO 1 DE LA LEY 1755 DE 2015 - DERECHO PETICIÓN ANTE AUTORIDADES – REGLAS ESPECIALES INFORMACIÓN Y DOCUMENTOS RESERVADOS – 1. RELACIONADOS CON LA DEFENSA O SEGURIDAD NACIONAL – 2. INSTRUCCIONES EN MATERIA DIPLOMÁTICA O SOBRE NEGOCIACIONES RESERVADAS – 3. INVOLUCREN DERECHOS A LA PRIVACIDAD E INTIMIDAD DE LAS PERSONAS, HOJAS DE VIDA, HISTORIA LABORAL, EXPEDIENTE PENSIONAL HISTORIA CLÍNICA 4. CONDICIONES FINANCIERAS DE LAS OPERACIONES DE CRÉDITO PÚBLICO Y TESORERÍA QUE REALICE LA NACIÓN TIENE RESERVA DE 6 MESES DESDE LA RESPECTIVA OPERACIÓN. 5. DATOS REFERENTES A LA INFO. FINANCIERA Y COMERCIAL EN LOS TÉRMINOS DE LA LEY ESTATUTARIA 1266 DE 2008. 6. PROTEGIDOS POR SECRETO COMERCIAL O INDUSTRIAL, ASÍ COMO LOS PLANES ESTRATÉGICOS DE LAS EMPRESAS PUBLICAS DE SERVICIOS PÚBLICOS. 7 AMPARADOS POR SECRETO PROFESIONAL Y 8 LOS DATOS GENÉTICOS HUMANOS. 
PARA EFECTO DE LA SOLICITUD DE INFORMACIÓN DE CARÁCTER RESERVADO, ENUNCIADA EN LOS NUMERALES 3, 5, 6 Y 7 SOLO PODRÁ SER SOLICITADA POR EL TITULAR DE LA INFORMACIÓN, POR SUS APODERADOS O POR PERSONAS AUTORIZADAS CON FACULTAD EXPRESA PARA ACCEDER A ESA INFORMACIÓN.
</v>
      </c>
      <c r="AZ124" s="80" t="str">
        <f>_xlfn.IFNA(VLOOKUP(AD124,[21]Tipologías!$B$3:$G$17,6,0),"")</f>
        <v xml:space="preserve">LEY 1266 DE 2008  HÁBEAS DATA – INFORMACIÓN CONTENIDA EN BASES DE DATOS PERSONALES, EN ESPECIAL LA FINANCIERA, CREDITICIA, COMERCIAL , DE SERVICIOS Y LOS PROVENIENTES DE TERCEROS PAÍSES 
ARTÍCULO 4 NUMERAL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PRINCIPIO DE ACCESO Y CIRCULACIÓN RESTRINGIDA: EL TRATAMIENTO SE SUJETA A LOS LÍMITES QUE SE DERIVAN DE LA NATURALEZA DE LOS DATOS PERSONALES, DE LAS DISPOSICIONES DE LA PRESENTE LEY Y LA CONSTITUCIÓN. 
ARTÍCULO 17: DEBERES DE LOS RESPONSABLES DEL TRATAMIENTO: CONSERVAR LA INFORMACIÓN BAJO LAS CONDICIONES DE SEGURIDAD NECESARIAS PARA IMPEDIR SU ADULTERACIÓN, PÉRDIDA, CONSULTA, USO O ACCESO NO AUTORIZADO O FRAUDULENTO.
DECRETO NACIONAL 1377 DE 2013 QUE REGLAMENTA PARCIALMENTE LA LEY ESTATUTARIA 1581 DE 2012 ARTÍCULO 3 DEFINE EN EL NUMERAL 3. DATO SENSIBLE.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A LOS DATOS BIOMÉTRICOS.
</v>
      </c>
      <c r="BA124" s="77" t="s">
        <v>197</v>
      </c>
      <c r="BB124" s="215">
        <v>45105</v>
      </c>
      <c r="BC124" s="76" t="s">
        <v>201</v>
      </c>
      <c r="BD124" s="78" t="s">
        <v>854</v>
      </c>
      <c r="BE124" s="78" t="s">
        <v>855</v>
      </c>
      <c r="BF124" s="45"/>
      <c r="BG124" s="45"/>
      <c r="BH124" s="45"/>
      <c r="BI124" s="45"/>
      <c r="BJ124" s="45"/>
      <c r="BK124" s="45"/>
      <c r="BL124" s="45"/>
      <c r="BM124" s="45"/>
      <c r="BN124" s="45"/>
      <c r="BO124" s="45"/>
      <c r="BP124" s="45"/>
      <c r="BQ124" s="45"/>
      <c r="BR124" s="45"/>
      <c r="BS124" s="45"/>
      <c r="BT124" s="45"/>
      <c r="BU124" s="45"/>
      <c r="BV124" s="45"/>
      <c r="BW124" s="45"/>
      <c r="BX124" s="45"/>
    </row>
    <row r="125" spans="1:76" s="67" customFormat="1" ht="207.2" customHeight="1" x14ac:dyDescent="0.2">
      <c r="A125" s="76">
        <v>116</v>
      </c>
      <c r="B125" s="107" t="s">
        <v>62</v>
      </c>
      <c r="C125" s="107" t="s">
        <v>162</v>
      </c>
      <c r="D125" s="100" t="s">
        <v>278</v>
      </c>
      <c r="E125" s="199" t="s">
        <v>839</v>
      </c>
      <c r="F125" s="200" t="s">
        <v>840</v>
      </c>
      <c r="G125" s="107" t="s">
        <v>173</v>
      </c>
      <c r="H125" s="100" t="s">
        <v>284</v>
      </c>
      <c r="I125" s="100" t="s">
        <v>284</v>
      </c>
      <c r="J125" s="107"/>
      <c r="K125" s="100" t="s">
        <v>320</v>
      </c>
      <c r="L125" s="109"/>
      <c r="M125" s="100" t="s">
        <v>195</v>
      </c>
      <c r="N125" s="100" t="s">
        <v>195</v>
      </c>
      <c r="O125" s="109"/>
      <c r="P125" s="100" t="s">
        <v>195</v>
      </c>
      <c r="Q125" s="76" t="s">
        <v>325</v>
      </c>
      <c r="R125" s="100" t="s">
        <v>195</v>
      </c>
      <c r="S125" s="100" t="s">
        <v>195</v>
      </c>
      <c r="T125" s="100" t="s">
        <v>195</v>
      </c>
      <c r="U125" s="77" t="s">
        <v>195</v>
      </c>
      <c r="V125" s="77" t="s">
        <v>195</v>
      </c>
      <c r="W125" s="77" t="s">
        <v>195</v>
      </c>
      <c r="X125" s="77" t="s">
        <v>195</v>
      </c>
      <c r="Y125" s="77" t="s">
        <v>195</v>
      </c>
      <c r="Z125" s="77" t="s">
        <v>195</v>
      </c>
      <c r="AA125" s="77" t="s">
        <v>195</v>
      </c>
      <c r="AB125" s="77" t="s">
        <v>195</v>
      </c>
      <c r="AC125" s="138" t="s">
        <v>195</v>
      </c>
      <c r="AD125" s="78" t="s">
        <v>208</v>
      </c>
      <c r="AE125" s="78" t="s">
        <v>134</v>
      </c>
      <c r="AF125" s="136" t="str">
        <f t="shared" si="97"/>
        <v>ALTO</v>
      </c>
      <c r="AG125" s="78" t="s">
        <v>102</v>
      </c>
      <c r="AH125" s="136" t="str">
        <f t="shared" si="98"/>
        <v>MEDIO</v>
      </c>
      <c r="AI125" s="78" t="s">
        <v>111</v>
      </c>
      <c r="AJ125" s="78" t="s">
        <v>121</v>
      </c>
      <c r="AK125" s="136" t="str">
        <f t="shared" si="99"/>
        <v>BAJO</v>
      </c>
      <c r="AL125" s="80" t="str">
        <f>VLOOKUP($AD125,[21]Tipologías!$B$3:$G$17,2,FALSE)</f>
        <v>ALTO</v>
      </c>
      <c r="AM125" s="80">
        <f t="shared" si="52"/>
        <v>3</v>
      </c>
      <c r="AN125" s="80" t="str">
        <f>VLOOKUP($AE125,[21]Tipologías!$A$21:$C$24,3,FALSE)</f>
        <v>ALTO</v>
      </c>
      <c r="AO125" s="80">
        <f t="shared" si="53"/>
        <v>3</v>
      </c>
      <c r="AP125" s="80">
        <f>VLOOKUP($AI125,[21]Tipologías!$A$38:$B$42,2,FALSE)</f>
        <v>0.5</v>
      </c>
      <c r="AQ125" s="80">
        <f>VLOOKUP($AJ125,[21]Tipologías!$A$46:$B$53,2,FALSE)</f>
        <v>1.25</v>
      </c>
      <c r="AR125" s="80" t="str">
        <f t="shared" si="100"/>
        <v>ALTO</v>
      </c>
      <c r="AS125" s="80" t="str">
        <f>VLOOKUP($AG125,[21]Tipologías!$A$29:$C$33,3,FALSE)</f>
        <v>MEDIO</v>
      </c>
      <c r="AT125" s="80" t="str">
        <f t="shared" si="101"/>
        <v>BAJO</v>
      </c>
      <c r="AU125" s="80" t="str">
        <f t="shared" si="102"/>
        <v>MEDIO</v>
      </c>
      <c r="AV125" s="80" t="str">
        <f>_xlfn.IFNA(VLOOKUP(AD125,[21]Tipologías!$B$3:$G$17,4,0),"")</f>
        <v>INFORMACIÓN PÚBLICA CLASIFICADA</v>
      </c>
      <c r="AW125" s="80" t="str">
        <f t="shared" si="103"/>
        <v>IPC</v>
      </c>
      <c r="AX125" s="80" t="str">
        <f>_xlfn.IFNA(VLOOKUP(AD125,[21]Tipologías!$B$3:$G$17,3,0),"")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25" s="80" t="str">
        <f>_xlfn.IFNA(VLOOKUP(AD125,[21]Tipologías!$B$3:$G$17,5,0),"")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25" s="80" t="str">
        <f>_xlfn.IFNA(VLOOKUP(AD125,[21]Tipologías!$B$3:$G$17,6,0),"")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25" s="76"/>
      <c r="BB125" s="215">
        <v>45105</v>
      </c>
      <c r="BC125" s="76" t="s">
        <v>195</v>
      </c>
      <c r="BD125" s="78" t="s">
        <v>854</v>
      </c>
      <c r="BE125" s="78" t="s">
        <v>855</v>
      </c>
      <c r="BF125" s="45"/>
      <c r="BG125" s="45"/>
      <c r="BH125" s="45"/>
      <c r="BI125" s="45"/>
      <c r="BJ125" s="45"/>
      <c r="BK125" s="45"/>
      <c r="BL125" s="45"/>
      <c r="BM125" s="45"/>
      <c r="BN125" s="45"/>
      <c r="BO125" s="45"/>
      <c r="BP125" s="45"/>
      <c r="BQ125" s="45"/>
      <c r="BR125" s="45"/>
      <c r="BS125" s="45"/>
      <c r="BT125" s="45"/>
      <c r="BU125" s="45"/>
      <c r="BV125" s="45"/>
      <c r="BW125" s="45"/>
      <c r="BX125" s="45"/>
    </row>
    <row r="126" spans="1:76" s="67" customFormat="1" ht="207.2" customHeight="1" x14ac:dyDescent="0.2">
      <c r="A126" s="76">
        <v>117</v>
      </c>
      <c r="B126" s="107" t="s">
        <v>62</v>
      </c>
      <c r="C126" s="107" t="s">
        <v>162</v>
      </c>
      <c r="D126" s="100" t="s">
        <v>278</v>
      </c>
      <c r="E126" s="199" t="s">
        <v>841</v>
      </c>
      <c r="F126" s="200" t="s">
        <v>842</v>
      </c>
      <c r="G126" s="107" t="s">
        <v>205</v>
      </c>
      <c r="H126" s="100" t="s">
        <v>510</v>
      </c>
      <c r="I126" s="100" t="s">
        <v>510</v>
      </c>
      <c r="J126" s="107" t="s">
        <v>336</v>
      </c>
      <c r="K126" s="100" t="s">
        <v>320</v>
      </c>
      <c r="L126" s="100" t="s">
        <v>362</v>
      </c>
      <c r="M126" s="100" t="s">
        <v>195</v>
      </c>
      <c r="N126" s="202" t="s">
        <v>843</v>
      </c>
      <c r="O126" s="100" t="s">
        <v>151</v>
      </c>
      <c r="P126" s="100" t="s">
        <v>844</v>
      </c>
      <c r="Q126" s="76" t="s">
        <v>325</v>
      </c>
      <c r="R126" s="100" t="s">
        <v>195</v>
      </c>
      <c r="S126" s="100" t="s">
        <v>413</v>
      </c>
      <c r="T126" s="100" t="s">
        <v>845</v>
      </c>
      <c r="U126" s="77" t="s">
        <v>329</v>
      </c>
      <c r="V126" s="77" t="s">
        <v>328</v>
      </c>
      <c r="W126" s="77" t="s">
        <v>329</v>
      </c>
      <c r="X126" s="77" t="s">
        <v>329</v>
      </c>
      <c r="Y126" s="77" t="s">
        <v>329</v>
      </c>
      <c r="Z126" s="77" t="s">
        <v>329</v>
      </c>
      <c r="AA126" s="77" t="s">
        <v>195</v>
      </c>
      <c r="AB126" s="77" t="s">
        <v>195</v>
      </c>
      <c r="AC126" s="138" t="s">
        <v>195</v>
      </c>
      <c r="AD126" s="77" t="s">
        <v>89</v>
      </c>
      <c r="AE126" s="78" t="s">
        <v>130</v>
      </c>
      <c r="AF126" s="136" t="str">
        <f t="shared" si="97"/>
        <v>BAJO</v>
      </c>
      <c r="AG126" s="78" t="s">
        <v>101</v>
      </c>
      <c r="AH126" s="136" t="str">
        <f t="shared" si="98"/>
        <v>BAJO</v>
      </c>
      <c r="AI126" s="78" t="s">
        <v>109</v>
      </c>
      <c r="AJ126" s="78" t="s">
        <v>124</v>
      </c>
      <c r="AK126" s="136" t="str">
        <f t="shared" si="99"/>
        <v>BAJO</v>
      </c>
      <c r="AL126" s="80" t="str">
        <f>VLOOKUP($AD126,[21]Tipologías!$B$3:$G$17,2,FALSE)</f>
        <v>BAJO</v>
      </c>
      <c r="AM126" s="80">
        <f t="shared" si="52"/>
        <v>1</v>
      </c>
      <c r="AN126" s="80" t="str">
        <f>VLOOKUP($AE126,[21]Tipologías!$A$21:$C$24,3,FALSE)</f>
        <v>BAJO</v>
      </c>
      <c r="AO126" s="80">
        <f t="shared" si="53"/>
        <v>1</v>
      </c>
      <c r="AP126" s="80">
        <f>VLOOKUP($AI126,[21]Tipologías!$A$38:$B$42,2,FALSE)</f>
        <v>0</v>
      </c>
      <c r="AQ126" s="80">
        <f>VLOOKUP($AJ126,[21]Tipologías!$A$46:$B$53,2,FALSE)</f>
        <v>0.25</v>
      </c>
      <c r="AR126" s="80" t="str">
        <f t="shared" si="100"/>
        <v>BAJO</v>
      </c>
      <c r="AS126" s="80" t="str">
        <f>VLOOKUP($AG126,[21]Tipologías!$A$29:$C$33,3,FALSE)</f>
        <v>BAJO</v>
      </c>
      <c r="AT126" s="80" t="str">
        <f t="shared" si="101"/>
        <v>BAJO</v>
      </c>
      <c r="AU126" s="80" t="str">
        <f t="shared" si="102"/>
        <v>BAJO</v>
      </c>
      <c r="AV126" s="80" t="str">
        <f>_xlfn.IFNA(VLOOKUP(AD126,[21]Tipologías!$B$3:$G$17,4,0),"")</f>
        <v>INFORMACIÓN PÚBLICA</v>
      </c>
      <c r="AW126" s="80" t="str">
        <f t="shared" si="103"/>
        <v>IPB</v>
      </c>
      <c r="AX126" s="80" t="str">
        <f>_xlfn.IFNA(VLOOKUP(AD126,[21]Tipologías!$B$3:$G$17,3,0),"")</f>
        <v>LEY 1712 DE 2014 LEY DE TRANSPARENCIA Y DERECHO DE ACCESO A LA INFORMACIÓN. ARTÍCULO 6 DEFINICIONES LITERAL B.</v>
      </c>
      <c r="AY126" s="80" t="str">
        <f>_xlfn.IFNA(VLOOKUP(AD126,[21]Tipologías!$B$3:$G$17,5,0),"")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6" s="80" t="str">
        <f>_xlfn.IFNA(VLOOKUP(AD126,[21]Tipologías!$B$3:$G$17,6,0),"")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6" s="76"/>
      <c r="BB126" s="215">
        <v>45105</v>
      </c>
      <c r="BC126" s="76" t="s">
        <v>195</v>
      </c>
      <c r="BD126" s="78" t="s">
        <v>854</v>
      </c>
      <c r="BE126" s="78" t="s">
        <v>855</v>
      </c>
      <c r="BF126" s="45"/>
      <c r="BG126" s="45"/>
      <c r="BH126" s="45"/>
      <c r="BI126" s="45"/>
      <c r="BJ126" s="45"/>
      <c r="BK126" s="45"/>
      <c r="BL126" s="45"/>
      <c r="BM126" s="45"/>
      <c r="BN126" s="45"/>
      <c r="BO126" s="45"/>
      <c r="BP126" s="45"/>
      <c r="BQ126" s="45"/>
      <c r="BR126" s="45"/>
      <c r="BS126" s="45"/>
      <c r="BT126" s="45"/>
      <c r="BU126" s="45"/>
      <c r="BV126" s="45"/>
      <c r="BW126" s="45"/>
      <c r="BX126" s="45"/>
    </row>
    <row r="127" spans="1:76" s="67" customFormat="1" ht="207.2" customHeight="1" x14ac:dyDescent="0.2">
      <c r="A127" s="76">
        <v>118</v>
      </c>
      <c r="B127" s="107" t="s">
        <v>62</v>
      </c>
      <c r="C127" s="107" t="s">
        <v>162</v>
      </c>
      <c r="D127" s="100" t="s">
        <v>278</v>
      </c>
      <c r="E127" s="199" t="s">
        <v>846</v>
      </c>
      <c r="F127" s="200" t="s">
        <v>847</v>
      </c>
      <c r="G127" s="107" t="s">
        <v>205</v>
      </c>
      <c r="H127" s="100" t="s">
        <v>510</v>
      </c>
      <c r="I127" s="100" t="s">
        <v>510</v>
      </c>
      <c r="J127" s="107" t="s">
        <v>336</v>
      </c>
      <c r="K127" s="100" t="s">
        <v>320</v>
      </c>
      <c r="L127" s="100" t="s">
        <v>321</v>
      </c>
      <c r="M127" s="100" t="s">
        <v>195</v>
      </c>
      <c r="N127" s="202" t="s">
        <v>843</v>
      </c>
      <c r="O127" s="100" t="s">
        <v>151</v>
      </c>
      <c r="P127" s="100" t="s">
        <v>844</v>
      </c>
      <c r="Q127" s="76" t="s">
        <v>325</v>
      </c>
      <c r="R127" s="100" t="s">
        <v>195</v>
      </c>
      <c r="S127" s="100" t="s">
        <v>848</v>
      </c>
      <c r="T127" s="100" t="s">
        <v>848</v>
      </c>
      <c r="U127" s="77" t="s">
        <v>329</v>
      </c>
      <c r="V127" s="77" t="s">
        <v>328</v>
      </c>
      <c r="W127" s="77" t="s">
        <v>329</v>
      </c>
      <c r="X127" s="77" t="s">
        <v>329</v>
      </c>
      <c r="Y127" s="77" t="s">
        <v>329</v>
      </c>
      <c r="Z127" s="77" t="s">
        <v>329</v>
      </c>
      <c r="AA127" s="77" t="s">
        <v>195</v>
      </c>
      <c r="AB127" s="77" t="s">
        <v>195</v>
      </c>
      <c r="AC127" s="138" t="s">
        <v>195</v>
      </c>
      <c r="AD127" s="77" t="s">
        <v>89</v>
      </c>
      <c r="AE127" s="78" t="s">
        <v>130</v>
      </c>
      <c r="AF127" s="136" t="str">
        <f t="shared" si="97"/>
        <v>BAJO</v>
      </c>
      <c r="AG127" s="78" t="s">
        <v>101</v>
      </c>
      <c r="AH127" s="136" t="str">
        <f t="shared" si="98"/>
        <v>BAJO</v>
      </c>
      <c r="AI127" s="78" t="s">
        <v>111</v>
      </c>
      <c r="AJ127" s="78" t="s">
        <v>124</v>
      </c>
      <c r="AK127" s="136" t="str">
        <f t="shared" si="99"/>
        <v>BAJO</v>
      </c>
      <c r="AL127" s="80" t="str">
        <f>VLOOKUP($AD127,[21]Tipologías!$B$3:$G$17,2,FALSE)</f>
        <v>BAJO</v>
      </c>
      <c r="AM127" s="80">
        <f t="shared" si="52"/>
        <v>1</v>
      </c>
      <c r="AN127" s="80" t="str">
        <f>VLOOKUP($AE127,[21]Tipologías!$A$21:$C$24,3,FALSE)</f>
        <v>BAJO</v>
      </c>
      <c r="AO127" s="80">
        <f t="shared" si="53"/>
        <v>1</v>
      </c>
      <c r="AP127" s="80">
        <f>VLOOKUP($AI127,[21]Tipologías!$A$38:$B$42,2,FALSE)</f>
        <v>0.5</v>
      </c>
      <c r="AQ127" s="80">
        <f>VLOOKUP($AJ127,[21]Tipologías!$A$46:$B$53,2,FALSE)</f>
        <v>0.25</v>
      </c>
      <c r="AR127" s="80" t="str">
        <f t="shared" si="100"/>
        <v>BAJO</v>
      </c>
      <c r="AS127" s="80" t="str">
        <f>VLOOKUP($AG127,[21]Tipologías!$A$29:$C$33,3,FALSE)</f>
        <v>BAJO</v>
      </c>
      <c r="AT127" s="80" t="str">
        <f t="shared" si="101"/>
        <v>BAJO</v>
      </c>
      <c r="AU127" s="80" t="str">
        <f t="shared" si="102"/>
        <v>BAJO</v>
      </c>
      <c r="AV127" s="80" t="str">
        <f>_xlfn.IFNA(VLOOKUP(AD127,[21]Tipologías!$B$3:$G$17,4,0),"")</f>
        <v>INFORMACIÓN PÚBLICA</v>
      </c>
      <c r="AW127" s="80" t="str">
        <f t="shared" si="103"/>
        <v>IPB</v>
      </c>
      <c r="AX127" s="80" t="str">
        <f>_xlfn.IFNA(VLOOKUP(AD127,[21]Tipologías!$B$3:$G$17,3,0),"")</f>
        <v>LEY 1712 DE 2014 LEY DE TRANSPARENCIA Y DERECHO DE ACCESO A LA INFORMACIÓN. ARTÍCULO 6 DEFINICIONES LITERAL B.</v>
      </c>
      <c r="AY127" s="80" t="str">
        <f>_xlfn.IFNA(VLOOKUP(AD127,[21]Tipologías!$B$3:$G$17,5,0),"")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7" s="80" t="str">
        <f>_xlfn.IFNA(VLOOKUP(AD127,[21]Tipologías!$B$3:$G$17,6,0),"")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7" s="76"/>
      <c r="BB127" s="215">
        <v>45105</v>
      </c>
      <c r="BC127" s="76" t="s">
        <v>195</v>
      </c>
      <c r="BD127" s="78" t="s">
        <v>854</v>
      </c>
      <c r="BE127" s="78" t="s">
        <v>855</v>
      </c>
      <c r="BF127" s="45"/>
      <c r="BG127" s="45"/>
      <c r="BH127" s="45"/>
      <c r="BI127" s="45"/>
      <c r="BJ127" s="45"/>
      <c r="BK127" s="45"/>
      <c r="BL127" s="45"/>
      <c r="BM127" s="45"/>
      <c r="BN127" s="45"/>
      <c r="BO127" s="45"/>
      <c r="BP127" s="45"/>
      <c r="BQ127" s="45"/>
      <c r="BR127" s="45"/>
      <c r="BS127" s="45"/>
      <c r="BT127" s="45"/>
      <c r="BU127" s="45"/>
      <c r="BV127" s="45"/>
      <c r="BW127" s="45"/>
      <c r="BX127" s="45"/>
    </row>
    <row r="128" spans="1:76" s="67" customFormat="1" ht="207.2" customHeight="1" x14ac:dyDescent="0.2">
      <c r="A128" s="76">
        <v>119</v>
      </c>
      <c r="B128" s="107" t="s">
        <v>62</v>
      </c>
      <c r="C128" s="107" t="s">
        <v>162</v>
      </c>
      <c r="D128" s="100" t="s">
        <v>278</v>
      </c>
      <c r="E128" s="199" t="s">
        <v>849</v>
      </c>
      <c r="F128" s="200" t="s">
        <v>850</v>
      </c>
      <c r="G128" s="107" t="s">
        <v>205</v>
      </c>
      <c r="H128" s="100" t="s">
        <v>510</v>
      </c>
      <c r="I128" s="100" t="s">
        <v>510</v>
      </c>
      <c r="J128" s="107" t="s">
        <v>336</v>
      </c>
      <c r="K128" s="100" t="s">
        <v>320</v>
      </c>
      <c r="L128" s="100" t="s">
        <v>362</v>
      </c>
      <c r="M128" s="100" t="s">
        <v>195</v>
      </c>
      <c r="N128" s="202" t="s">
        <v>843</v>
      </c>
      <c r="O128" s="100" t="s">
        <v>151</v>
      </c>
      <c r="P128" s="100" t="s">
        <v>540</v>
      </c>
      <c r="Q128" s="76" t="s">
        <v>325</v>
      </c>
      <c r="R128" s="100" t="s">
        <v>195</v>
      </c>
      <c r="S128" s="100" t="s">
        <v>650</v>
      </c>
      <c r="T128" s="100" t="s">
        <v>851</v>
      </c>
      <c r="U128" s="77" t="s">
        <v>329</v>
      </c>
      <c r="V128" s="77" t="s">
        <v>328</v>
      </c>
      <c r="W128" s="77" t="s">
        <v>329</v>
      </c>
      <c r="X128" s="77" t="s">
        <v>329</v>
      </c>
      <c r="Y128" s="77" t="s">
        <v>329</v>
      </c>
      <c r="Z128" s="77" t="s">
        <v>329</v>
      </c>
      <c r="AA128" s="77" t="s">
        <v>195</v>
      </c>
      <c r="AB128" s="77" t="s">
        <v>195</v>
      </c>
      <c r="AC128" s="138" t="s">
        <v>195</v>
      </c>
      <c r="AD128" s="77" t="s">
        <v>89</v>
      </c>
      <c r="AE128" s="78" t="s">
        <v>130</v>
      </c>
      <c r="AF128" s="136" t="str">
        <f t="shared" si="97"/>
        <v>BAJO</v>
      </c>
      <c r="AG128" s="78" t="s">
        <v>101</v>
      </c>
      <c r="AH128" s="136" t="str">
        <f t="shared" si="98"/>
        <v>BAJO</v>
      </c>
      <c r="AI128" s="78" t="s">
        <v>109</v>
      </c>
      <c r="AJ128" s="78" t="s">
        <v>124</v>
      </c>
      <c r="AK128" s="136" t="str">
        <f t="shared" si="99"/>
        <v>BAJO</v>
      </c>
      <c r="AL128" s="80" t="str">
        <f>VLOOKUP($AD128,[21]Tipologías!$B$3:$G$17,2,FALSE)</f>
        <v>BAJO</v>
      </c>
      <c r="AM128" s="80">
        <f t="shared" si="52"/>
        <v>1</v>
      </c>
      <c r="AN128" s="80" t="str">
        <f>VLOOKUP($AE128,[21]Tipologías!$A$21:$C$24,3,FALSE)</f>
        <v>BAJO</v>
      </c>
      <c r="AO128" s="80">
        <f t="shared" si="53"/>
        <v>1</v>
      </c>
      <c r="AP128" s="80">
        <f>VLOOKUP($AI128,[21]Tipologías!$A$38:$B$42,2,FALSE)</f>
        <v>0</v>
      </c>
      <c r="AQ128" s="80">
        <f>VLOOKUP($AJ128,[21]Tipologías!$A$46:$B$53,2,FALSE)</f>
        <v>0.25</v>
      </c>
      <c r="AR128" s="80" t="str">
        <f t="shared" si="100"/>
        <v>BAJO</v>
      </c>
      <c r="AS128" s="80" t="str">
        <f>VLOOKUP($AG128,[21]Tipologías!$A$29:$C$33,3,FALSE)</f>
        <v>BAJO</v>
      </c>
      <c r="AT128" s="80" t="str">
        <f t="shared" si="101"/>
        <v>BAJO</v>
      </c>
      <c r="AU128" s="80" t="str">
        <f t="shared" si="102"/>
        <v>BAJO</v>
      </c>
      <c r="AV128" s="80" t="str">
        <f>_xlfn.IFNA(VLOOKUP(AD128,[21]Tipologías!$B$3:$G$17,4,0),"")</f>
        <v>INFORMACIÓN PÚBLICA</v>
      </c>
      <c r="AW128" s="80" t="str">
        <f t="shared" si="103"/>
        <v>IPB</v>
      </c>
      <c r="AX128" s="80" t="str">
        <f>_xlfn.IFNA(VLOOKUP(AD128,[21]Tipologías!$B$3:$G$17,3,0),"")</f>
        <v>LEY 1712 DE 2014 LEY DE TRANSPARENCIA Y DERECHO DE ACCESO A LA INFORMACIÓN. ARTÍCULO 6 DEFINICIONES LITERAL B.</v>
      </c>
      <c r="AY128" s="80" t="str">
        <f>_xlfn.IFNA(VLOOKUP(AD128,[21]Tipologías!$B$3:$G$17,5,0),"")</f>
        <v xml:space="preserve">CONSTITUCIÓN POLÍTICA DE COLOMBIA
ARTÍCULO 15. MODIFICADO POR EL ACTO LEGISLATIVO  02 DE 2003.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INTERCEPTADAS O REGISTRADAS MEDIANTE ORDEN JUDICIAL, EN LOS CASOS Y CON LAS FORMALIDADES QUE ESTABLEZCA LA LEY.
PARA EFECTOS TRIBUTARIOS O JUDICIALES Y PARA LOS CASOS DE INSPECCIÓN, VIGILANCIA E INTERVENCIÓN DEL ESTADO PODRÁ EXIGIRSE LA PRESENTACIÓN DE LIBROS DE CONTABILIDAD Y DEMÁS DOCUMENTOS PRIVADOS, EN LOS TÉRMINOS QUE SEÑALE LA LEY.
ARTÍCULO 74: TODAS LAS PERSONAS TIENEN DERECHO A ACCEDER A LOS DOCUMENTOS PÚBLICOS SALVO LOS CASOS QUE ESTABLEZCA LA LEY. EL SECRETO PROFESIONAL ES INVIOLABLE.
</v>
      </c>
      <c r="AZ128" s="80" t="str">
        <f>_xlfn.IFNA(VLOOKUP(AD128,[21]Tipologías!$B$3:$G$17,6,0),"")</f>
        <v xml:space="preserve">LEY 1712 DE 2014 LEY DE TRANSPARENCIA Y DERECHO DE ACCESO A LA INFORMACIÓN. ARTÍCULO 6 DEFINICIONES LITERALES:
A) INFORMACIÓN ES UN CONJUNTO ORGANIZADO DE DATOS CONTENIDOS EN CUALQUIER DOCUMENTO QUE LOS SUJETOS OBLIGADOS GENEREN, OBTENGAN, ADQUIERAN, TRANSFORMEN O CONTROLEN.
B) INFORMACIÓN PÚBLICA ES TODA INFORMACIÓN QUE UN SUJETO OBLIGADO GENERE, OBTENGA, ADQUIERA, O CONTROLE EN SU CALIDAD DE TAL.
DECRETO NACIONAL 1377 DE 2013 QUE REGLAMENTA PARCIALMENTE LA LEY ESTATUTARIA 1581 DE 2012 ARTÍCULO 3 DEFINE EN EL NUMERAL 2 DATO PÚBLICO: ES EL DATO QUE NO SEA SEMIPRIVADO, PRIVADO O SENSIBLE. SON CONSIDERADOS DATOS PÚBLICOS, ENTRE OTROS, LOS DATOS RELATIVOS AL ESTADO CIVIL DE LAS PERSONAS, A SU PROFESIÓN U OFICIO Y A SU CALIDAD DE COMERCIANTE O DE SERVIDOR PÚBLICO. POR SU NATURALEZA, LOS DATOS PÚBLICOS PUEDES ESTAR CONTENIDO, ENTRE OTROS, EN REGISTROS PÚBLICOS, DOCUMENTOS PÚBLICOS, GACETAS Y BOLETINES OFICIALES Y SENTENCIAS JUDICIALES DEBIDAMENTE EJECUTORIADAS QUE NO ESTÉN SOMETIDAS A RESERVA.
</v>
      </c>
      <c r="BA128" s="76"/>
      <c r="BB128" s="215">
        <v>45105</v>
      </c>
      <c r="BC128" s="76" t="s">
        <v>195</v>
      </c>
      <c r="BD128" s="78" t="s">
        <v>854</v>
      </c>
      <c r="BE128" s="78" t="s">
        <v>855</v>
      </c>
      <c r="BF128" s="45"/>
      <c r="BG128" s="45"/>
      <c r="BH128" s="45"/>
      <c r="BI128" s="45"/>
      <c r="BJ128" s="45"/>
      <c r="BK128" s="45"/>
      <c r="BL128" s="45"/>
      <c r="BM128" s="45"/>
      <c r="BN128" s="45"/>
      <c r="BO128" s="45"/>
      <c r="BP128" s="45"/>
      <c r="BQ128" s="45"/>
      <c r="BR128" s="45"/>
      <c r="BS128" s="45"/>
      <c r="BT128" s="45"/>
      <c r="BU128" s="45"/>
      <c r="BV128" s="45"/>
      <c r="BW128" s="45"/>
      <c r="BX128" s="45"/>
    </row>
    <row r="129" spans="1:64" ht="207.2" customHeight="1" thickBot="1" x14ac:dyDescent="0.25">
      <c r="A129" s="76">
        <v>120</v>
      </c>
      <c r="B129" s="107" t="s">
        <v>62</v>
      </c>
      <c r="C129" s="107" t="s">
        <v>162</v>
      </c>
      <c r="D129" s="100" t="s">
        <v>278</v>
      </c>
      <c r="E129" s="199" t="s">
        <v>852</v>
      </c>
      <c r="F129" s="200" t="s">
        <v>853</v>
      </c>
      <c r="G129" s="107" t="s">
        <v>140</v>
      </c>
      <c r="H129" s="100" t="s">
        <v>510</v>
      </c>
      <c r="I129" s="100" t="s">
        <v>830</v>
      </c>
      <c r="J129" s="107" t="s">
        <v>336</v>
      </c>
      <c r="K129" s="100" t="s">
        <v>320</v>
      </c>
      <c r="L129" s="100" t="s">
        <v>321</v>
      </c>
      <c r="M129" s="100" t="s">
        <v>195</v>
      </c>
      <c r="N129" s="100" t="s">
        <v>835</v>
      </c>
      <c r="O129" s="100" t="s">
        <v>151</v>
      </c>
      <c r="P129" s="100" t="s">
        <v>838</v>
      </c>
      <c r="Q129" s="76" t="s">
        <v>325</v>
      </c>
      <c r="R129" s="76" t="s">
        <v>325</v>
      </c>
      <c r="S129" s="100" t="s">
        <v>195</v>
      </c>
      <c r="T129" s="100" t="s">
        <v>195</v>
      </c>
      <c r="U129" s="77" t="s">
        <v>195</v>
      </c>
      <c r="V129" s="77" t="s">
        <v>195</v>
      </c>
      <c r="W129" s="77" t="s">
        <v>195</v>
      </c>
      <c r="X129" s="77" t="s">
        <v>195</v>
      </c>
      <c r="Y129" s="77" t="s">
        <v>195</v>
      </c>
      <c r="Z129" s="77" t="s">
        <v>195</v>
      </c>
      <c r="AA129" s="77" t="s">
        <v>195</v>
      </c>
      <c r="AB129" s="77" t="s">
        <v>195</v>
      </c>
      <c r="AC129" s="138" t="s">
        <v>195</v>
      </c>
      <c r="AD129" s="77" t="s">
        <v>208</v>
      </c>
      <c r="AE129" s="78" t="s">
        <v>132</v>
      </c>
      <c r="AF129" s="136" t="str">
        <f t="shared" si="97"/>
        <v>ALTO</v>
      </c>
      <c r="AG129" s="78" t="s">
        <v>104</v>
      </c>
      <c r="AH129" s="136" t="str">
        <f t="shared" si="98"/>
        <v>ALTO</v>
      </c>
      <c r="AI129" s="78" t="s">
        <v>114</v>
      </c>
      <c r="AJ129" s="78" t="s">
        <v>119</v>
      </c>
      <c r="AK129" s="136" t="str">
        <f t="shared" si="99"/>
        <v>ALTO</v>
      </c>
      <c r="AL129" s="80" t="str">
        <f>VLOOKUP($AD129,[21]Tipologías!$B$3:$G$17,2,FALSE)</f>
        <v>ALTO</v>
      </c>
      <c r="AM129" s="80">
        <f t="shared" si="52"/>
        <v>3</v>
      </c>
      <c r="AN129" s="80" t="str">
        <f>VLOOKUP($AE129,[21]Tipologías!$A$21:$C$24,3,FALSE)</f>
        <v>MEDIO</v>
      </c>
      <c r="AO129" s="80">
        <f t="shared" si="53"/>
        <v>2</v>
      </c>
      <c r="AP129" s="80">
        <f>VLOOKUP($AI129,[21]Tipologías!$A$38:$B$42,2,FALSE)</f>
        <v>1.5</v>
      </c>
      <c r="AQ129" s="80">
        <f>VLOOKUP($AJ129,[21]Tipologías!$A$46:$B$53,2,FALSE)</f>
        <v>2</v>
      </c>
      <c r="AR129" s="80" t="str">
        <f t="shared" si="100"/>
        <v>ALTO</v>
      </c>
      <c r="AS129" s="80" t="str">
        <f>VLOOKUP($AG129,[21]Tipologías!$A$29:$C$33,3,FALSE)</f>
        <v>ALTO</v>
      </c>
      <c r="AT129" s="80" t="str">
        <f t="shared" si="101"/>
        <v>ALTO</v>
      </c>
      <c r="AU129" s="80" t="str">
        <f t="shared" si="102"/>
        <v>ALTO</v>
      </c>
      <c r="AV129" s="80" t="str">
        <f>_xlfn.IFNA(VLOOKUP(AD129,[21]Tipologías!$B$3:$G$17,4,0),"")</f>
        <v>INFORMACIÓN PÚBLICA CLASIFICADA</v>
      </c>
      <c r="AW129" s="80" t="str">
        <f t="shared" si="103"/>
        <v>IPC</v>
      </c>
      <c r="AX129" s="80" t="str">
        <f>_xlfn.IFNA(VLOOKUP(AD129,[21]Tipologías!$B$3:$G$17,3,0),"")</f>
        <v xml:space="preserve">LEY 1712  DE 2014, ARTÍCULO 18 CORREGIDO POR EL ARTÍCULO 2 DEL DECRETO LEY 1494 DE 2015. INFORMACIÓN EXCEPTUADA POR DAÑO DE DERECHOS A PERSONAS NATURALES O JURÍDICAS,  LITERAL C "LOS SECRETOS COMERCIALES, INDUSTRIALES Y PROFESIONALES. ASÍ COMO LOS ESTIPULADOS EN EL PARÁGRAFO DEL ARTÍCULO 77 DE LA LEY 1474 DE 2011."
</v>
      </c>
      <c r="AY129" s="80" t="str">
        <f>_xlfn.IFNA(VLOOKUP(AD129,[21]Tipologías!$B$3:$G$17,5,0),"")</f>
        <v xml:space="preserve"> ARTÍCULO 24 LEY 1437 DE 2011 CPACA - SUSTITUIDO POR EL ARTÍCULO 1 DE LA LEY 1755 DE 2015 
ARTÍCULO 24 LEY 1437 DE 2011 CPACA - SUSTITUIDO POR EL ARTÍCULO 1 DE LA LEY 1755 DE 2015 - DERECHO PETICIÓN ANTE AUTORIDADES – REGLAS ESPECIALES INFORMACIÓN Y DOCUMENTOS RESERVADOS – 6. PROTEGIDOS POR SECRETO COMERCIAL O INDUSTRIAL, </v>
      </c>
      <c r="AZ129" s="80" t="str">
        <f>_xlfn.IFNA(VLOOKUP(AD129,[21]Tipologías!$B$3:$G$17,6,0),"")</f>
        <v>LEY 1474 DE 2011 NORMAS ORIENTADAS A FORTALECER LOS MECANISMOS DE PREVENCIÓN, INVESTIGACIÓN Y SANCIÓN DE ACTOS DE CORRUPCIÓN Y LA EFECTIVIDAD DEL CONTROL DE LA GESTIÓN PÚBLICA. ARTÍCULO 77 PUBLICACIÓN PROYECTOS DE INVERSIÓN COMO MECANISMO DE TRANSPARENCIA EN LA CONTRATACIÓN SE DEBE PUBLICAR EN LA PÁGINA WEB LOS PROYECTOS DE INVERSIÓN SEGÚN LA FECHA DE INSCRIPCIÓN EN EL BANCO DE PROGRAMAS Y PROYECTOS DE INVERSIÓN NACIONAL DEPARTAMENTAL, MUNICIPAL O DISTRITAL SEGÚN SEA EL CASO.
PARÁGRAFO ARTÍCULO 24 LEY 1437 DE 2011 CPACA - SUSTITUIDO POR EL ARTÍCULO 1 DE LA LEY 1755 DE 2015 PARÁGRAFO LOS NUMERALES 3, 5, 6 Y 7 SOLO PODRÁ SER SOLICITADA POR EL TITULAR DE LA INFORMACIÓN, POR SUS APODERADOS O POR PERSONAS AUTORIZADAS CON FACULTAD EXPRESA PARA ACCEDER A ESA INFORMACIÓN
LEY ESTATUTARIA 1581 DE 2012 ARTÍCULO 4 Y ARTÍCULO 17</v>
      </c>
      <c r="BA129" s="77" t="s">
        <v>197</v>
      </c>
      <c r="BB129" s="215">
        <v>45105</v>
      </c>
      <c r="BC129" s="76" t="s">
        <v>201</v>
      </c>
      <c r="BD129" s="78" t="s">
        <v>854</v>
      </c>
      <c r="BE129" s="78" t="s">
        <v>855</v>
      </c>
      <c r="BF129" s="231"/>
      <c r="BG129" s="231"/>
      <c r="BH129" s="69"/>
      <c r="BI129" s="69"/>
      <c r="BJ129" s="221"/>
      <c r="BK129" s="221"/>
      <c r="BL129" s="45"/>
    </row>
    <row r="130" spans="1:64" ht="28.5" customHeight="1" x14ac:dyDescent="0.2">
      <c r="A130" s="237"/>
      <c r="B130" s="238"/>
      <c r="C130" s="239"/>
      <c r="D130" s="240"/>
      <c r="E130" s="241"/>
      <c r="F130" s="241"/>
      <c r="G130" s="241"/>
      <c r="H130" s="241"/>
      <c r="I130" s="241"/>
      <c r="J130" s="241"/>
      <c r="K130" s="241"/>
      <c r="L130" s="241"/>
      <c r="M130" s="241"/>
      <c r="N130" s="241"/>
      <c r="O130" s="241"/>
      <c r="P130" s="241"/>
      <c r="Q130" s="241"/>
      <c r="R130" s="241"/>
      <c r="S130" s="243"/>
      <c r="T130" s="243"/>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1"/>
      <c r="AP130" s="241"/>
      <c r="AQ130" s="241"/>
      <c r="AR130" s="241"/>
      <c r="AS130" s="241"/>
      <c r="AT130" s="241"/>
      <c r="AU130" s="241"/>
      <c r="AV130" s="45"/>
      <c r="AW130" s="221"/>
      <c r="AX130" s="221"/>
      <c r="AY130" s="45"/>
      <c r="AZ130" s="208"/>
      <c r="BA130" s="208"/>
      <c r="BB130" s="208"/>
      <c r="BC130" s="208"/>
      <c r="BD130" s="45"/>
      <c r="BE130" s="45"/>
      <c r="BF130" s="221"/>
      <c r="BG130" s="221"/>
      <c r="BH130" s="45"/>
      <c r="BI130" s="45"/>
      <c r="BJ130" s="221"/>
      <c r="BK130" s="221"/>
      <c r="BL130" s="45"/>
    </row>
    <row r="131" spans="1:64" ht="28.5" customHeight="1" x14ac:dyDescent="0.2">
      <c r="A131" s="227"/>
      <c r="B131" s="228"/>
      <c r="C131" s="229"/>
      <c r="D131" s="225"/>
      <c r="E131" s="225"/>
      <c r="F131" s="225"/>
      <c r="G131" s="225"/>
      <c r="H131" s="225"/>
      <c r="I131" s="225"/>
      <c r="J131" s="225"/>
      <c r="K131" s="225"/>
      <c r="L131" s="225"/>
      <c r="M131" s="225"/>
      <c r="N131" s="225"/>
      <c r="O131" s="225"/>
      <c r="P131" s="225"/>
      <c r="Q131" s="225"/>
      <c r="R131" s="225"/>
      <c r="S131" s="226"/>
      <c r="T131" s="226"/>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45"/>
      <c r="AW131" s="221"/>
      <c r="AX131" s="221"/>
      <c r="AY131" s="45"/>
      <c r="AZ131" s="208"/>
      <c r="BA131" s="208"/>
      <c r="BB131" s="208"/>
      <c r="BC131" s="208"/>
      <c r="BD131" s="45"/>
      <c r="BE131" s="45"/>
      <c r="BF131" s="221"/>
      <c r="BG131" s="221"/>
      <c r="BH131" s="45"/>
      <c r="BI131" s="45"/>
      <c r="BJ131" s="221"/>
      <c r="BK131" s="221"/>
      <c r="BL131" s="45"/>
    </row>
    <row r="132" spans="1:64" ht="12.75" customHeight="1" x14ac:dyDescent="0.2">
      <c r="A132" s="227"/>
      <c r="B132" s="228"/>
      <c r="C132" s="229"/>
      <c r="D132" s="225"/>
      <c r="E132" s="225"/>
      <c r="F132" s="225"/>
      <c r="G132" s="225"/>
      <c r="H132" s="225"/>
      <c r="I132" s="225"/>
      <c r="J132" s="225"/>
      <c r="K132" s="225"/>
      <c r="L132" s="225"/>
      <c r="M132" s="225"/>
      <c r="N132" s="225"/>
      <c r="O132" s="225"/>
      <c r="P132" s="225"/>
      <c r="Q132" s="225"/>
      <c r="R132" s="225"/>
      <c r="S132" s="226"/>
      <c r="T132" s="226"/>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c r="AS132" s="225"/>
      <c r="AT132" s="225"/>
      <c r="AU132" s="225"/>
      <c r="AV132" s="45"/>
      <c r="AW132" s="221"/>
      <c r="AX132" s="221"/>
      <c r="AY132" s="45"/>
      <c r="AZ132" s="208"/>
      <c r="BA132" s="208"/>
      <c r="BB132" s="208"/>
      <c r="BC132" s="208"/>
      <c r="BD132" s="45"/>
      <c r="BE132" s="45"/>
      <c r="BF132" s="221"/>
      <c r="BG132" s="221"/>
      <c r="BH132" s="45"/>
      <c r="BI132" s="45"/>
      <c r="BJ132" s="221"/>
      <c r="BK132" s="221"/>
      <c r="BL132" s="45"/>
    </row>
    <row r="133" spans="1:64" ht="22.5" customHeight="1" thickBot="1" x14ac:dyDescent="0.25">
      <c r="A133" s="222"/>
      <c r="B133" s="223"/>
      <c r="C133" s="224"/>
      <c r="D133" s="225"/>
      <c r="E133" s="225"/>
      <c r="F133" s="225"/>
      <c r="G133" s="225"/>
      <c r="H133" s="225"/>
      <c r="I133" s="225"/>
      <c r="J133" s="225"/>
      <c r="K133" s="225"/>
      <c r="L133" s="225"/>
      <c r="M133" s="225"/>
      <c r="N133" s="225"/>
      <c r="O133" s="225"/>
      <c r="P133" s="225"/>
      <c r="Q133" s="225"/>
      <c r="R133" s="225"/>
      <c r="S133" s="226"/>
      <c r="T133" s="226"/>
      <c r="U133" s="62"/>
      <c r="V133" s="62"/>
      <c r="W133" s="62"/>
      <c r="X133" s="62"/>
      <c r="Y133" s="62"/>
      <c r="Z133" s="62"/>
      <c r="AA133" s="62"/>
      <c r="AB133" s="62"/>
      <c r="AC133" s="62"/>
      <c r="AD133" s="165"/>
      <c r="AE133" s="165"/>
      <c r="AF133" s="62"/>
      <c r="AG133" s="62"/>
      <c r="AH133" s="62"/>
      <c r="AI133" s="62"/>
      <c r="AJ133" s="62"/>
      <c r="AK133" s="62"/>
      <c r="AL133" s="62"/>
      <c r="AM133" s="62"/>
      <c r="AN133" s="62"/>
      <c r="AO133" s="62"/>
      <c r="AP133" s="62"/>
      <c r="AQ133" s="62"/>
      <c r="AR133" s="62"/>
      <c r="AS133" s="62"/>
      <c r="AT133" s="62"/>
      <c r="AU133" s="208"/>
      <c r="AV133" s="45"/>
      <c r="AW133" s="221"/>
      <c r="AX133" s="221"/>
      <c r="AY133" s="45"/>
      <c r="AZ133" s="208"/>
      <c r="BA133" s="208"/>
      <c r="BB133" s="208"/>
      <c r="BC133" s="208"/>
      <c r="BD133" s="45"/>
      <c r="BE133" s="45"/>
      <c r="BF133" s="221"/>
      <c r="BG133" s="221"/>
      <c r="BH133" s="45"/>
      <c r="BI133" s="45"/>
      <c r="BJ133" s="221"/>
      <c r="BK133" s="221"/>
      <c r="BL133" s="45"/>
    </row>
    <row r="134" spans="1:64" ht="15.75" x14ac:dyDescent="0.2">
      <c r="A134" s="45"/>
      <c r="B134" s="45"/>
      <c r="C134" s="61"/>
      <c r="D134" s="208"/>
      <c r="E134" s="208"/>
      <c r="F134" s="45"/>
      <c r="G134" s="45"/>
      <c r="H134" s="45"/>
      <c r="I134" s="45"/>
      <c r="J134" s="208"/>
      <c r="K134" s="208"/>
      <c r="L134" s="45"/>
      <c r="M134" s="45"/>
      <c r="N134" s="45"/>
      <c r="O134" s="45"/>
      <c r="P134" s="208"/>
      <c r="Q134" s="211"/>
      <c r="R134" s="211"/>
      <c r="S134" s="211"/>
      <c r="T134" s="211"/>
      <c r="U134" s="45"/>
      <c r="V134" s="45"/>
      <c r="W134" s="45"/>
      <c r="X134" s="45"/>
      <c r="Y134" s="45"/>
      <c r="Z134" s="45"/>
      <c r="AA134" s="45"/>
      <c r="AB134" s="45"/>
      <c r="AC134" s="45"/>
      <c r="AF134" s="70"/>
      <c r="AG134" s="45"/>
      <c r="AH134" s="45"/>
      <c r="AI134" s="45"/>
      <c r="AJ134" s="45"/>
      <c r="AK134" s="45"/>
      <c r="AL134" s="45"/>
      <c r="AM134" s="45"/>
      <c r="AN134" s="45"/>
      <c r="AO134" s="45"/>
      <c r="AP134" s="45"/>
      <c r="AQ134" s="45"/>
      <c r="AR134" s="45"/>
      <c r="AS134" s="45"/>
      <c r="AT134" s="45"/>
      <c r="AU134" s="208"/>
      <c r="AV134" s="45"/>
      <c r="AW134" s="221"/>
      <c r="AX134" s="221"/>
      <c r="AY134" s="45"/>
      <c r="AZ134" s="208"/>
      <c r="BA134" s="208"/>
      <c r="BB134" s="208"/>
      <c r="BC134" s="208"/>
      <c r="BD134" s="45"/>
      <c r="BE134" s="45"/>
      <c r="BF134" s="221"/>
      <c r="BG134" s="221"/>
      <c r="BH134" s="45"/>
      <c r="BI134" s="45"/>
      <c r="BJ134" s="221"/>
      <c r="BK134" s="221"/>
      <c r="BL134" s="45"/>
    </row>
    <row r="135" spans="1:64" ht="15.75" x14ac:dyDescent="0.2">
      <c r="A135" s="45"/>
      <c r="B135" s="45"/>
      <c r="C135" s="61"/>
      <c r="D135" s="208"/>
      <c r="E135" s="208"/>
      <c r="F135" s="45"/>
      <c r="G135" s="45"/>
      <c r="H135" s="45"/>
      <c r="I135" s="45"/>
      <c r="J135" s="208"/>
      <c r="K135" s="208"/>
      <c r="L135" s="45"/>
      <c r="M135" s="45"/>
      <c r="N135" s="45"/>
      <c r="O135" s="45"/>
      <c r="P135" s="208"/>
      <c r="Q135" s="211"/>
      <c r="R135" s="211"/>
      <c r="S135" s="211"/>
      <c r="T135" s="211"/>
      <c r="U135" s="45"/>
      <c r="V135" s="45"/>
      <c r="W135" s="45"/>
      <c r="X135" s="45"/>
      <c r="Y135" s="45"/>
      <c r="Z135" s="45"/>
      <c r="AA135" s="45"/>
      <c r="AB135" s="45"/>
      <c r="AC135" s="45"/>
      <c r="AF135" s="70"/>
      <c r="AG135" s="45"/>
      <c r="AH135" s="45"/>
      <c r="AI135" s="45"/>
      <c r="AJ135" s="45"/>
      <c r="AK135" s="45"/>
      <c r="AL135" s="45"/>
      <c r="AM135" s="45"/>
      <c r="AN135" s="45"/>
      <c r="AO135" s="45"/>
      <c r="AP135" s="45"/>
      <c r="AQ135" s="45"/>
      <c r="AR135" s="45"/>
      <c r="AS135" s="45"/>
      <c r="AT135" s="45"/>
      <c r="AU135" s="208"/>
      <c r="AV135" s="45"/>
      <c r="AW135" s="221"/>
      <c r="AX135" s="221"/>
      <c r="AY135" s="45"/>
      <c r="AZ135" s="208"/>
      <c r="BA135" s="208"/>
      <c r="BB135" s="208"/>
      <c r="BC135" s="208"/>
      <c r="BD135" s="45"/>
      <c r="BE135" s="45"/>
      <c r="BF135" s="221"/>
      <c r="BG135" s="221"/>
      <c r="BH135" s="45"/>
      <c r="BI135" s="45"/>
      <c r="BJ135" s="221"/>
      <c r="BK135" s="221"/>
      <c r="BL135" s="45"/>
    </row>
    <row r="136" spans="1:64" ht="15.75" x14ac:dyDescent="0.2">
      <c r="A136" s="45"/>
      <c r="B136" s="45"/>
      <c r="C136" s="61"/>
      <c r="D136" s="208"/>
      <c r="E136" s="208"/>
      <c r="F136" s="45"/>
      <c r="G136" s="45"/>
      <c r="H136" s="45"/>
      <c r="I136" s="45"/>
      <c r="J136" s="208"/>
      <c r="K136" s="208"/>
      <c r="L136" s="45"/>
      <c r="M136" s="45"/>
      <c r="N136" s="45"/>
      <c r="O136" s="45"/>
      <c r="P136" s="208"/>
      <c r="Q136" s="211"/>
      <c r="R136" s="211"/>
      <c r="S136" s="211"/>
      <c r="T136" s="211"/>
      <c r="U136" s="45"/>
      <c r="V136" s="45"/>
      <c r="W136" s="45"/>
      <c r="X136" s="45"/>
      <c r="Y136" s="45"/>
      <c r="Z136" s="45"/>
      <c r="AA136" s="45"/>
      <c r="AB136" s="45"/>
      <c r="AC136" s="45"/>
      <c r="AF136" s="70"/>
      <c r="AG136" s="45"/>
      <c r="AH136" s="45"/>
      <c r="AI136" s="45"/>
      <c r="AJ136" s="45"/>
      <c r="AK136" s="45"/>
      <c r="AL136" s="45"/>
      <c r="AM136" s="45"/>
      <c r="AN136" s="45"/>
      <c r="AO136" s="45"/>
      <c r="AP136" s="45"/>
      <c r="AQ136" s="45"/>
      <c r="AR136" s="45"/>
      <c r="AS136" s="45"/>
      <c r="AT136" s="45"/>
      <c r="AU136" s="208"/>
      <c r="AV136" s="45"/>
      <c r="AW136" s="221"/>
      <c r="AX136" s="221"/>
      <c r="AY136" s="45"/>
      <c r="AZ136" s="208"/>
      <c r="BA136" s="208"/>
      <c r="BB136" s="208"/>
      <c r="BC136" s="208"/>
      <c r="BD136" s="45"/>
      <c r="BE136" s="45"/>
      <c r="BF136" s="221"/>
      <c r="BG136" s="221"/>
      <c r="BH136" s="45"/>
      <c r="BI136" s="45"/>
      <c r="BJ136" s="221"/>
      <c r="BK136" s="221"/>
      <c r="BL136" s="45"/>
    </row>
    <row r="137" spans="1:64" ht="15.75" x14ac:dyDescent="0.2">
      <c r="A137" s="45"/>
      <c r="B137" s="45"/>
      <c r="C137" s="61"/>
      <c r="D137" s="208"/>
      <c r="E137" s="208"/>
      <c r="F137" s="45"/>
      <c r="G137" s="45"/>
      <c r="H137" s="45"/>
      <c r="I137" s="45"/>
      <c r="J137" s="208"/>
      <c r="K137" s="208"/>
      <c r="L137" s="45"/>
      <c r="M137" s="45"/>
      <c r="N137" s="45"/>
      <c r="O137" s="45"/>
      <c r="P137" s="208"/>
      <c r="Q137" s="211"/>
      <c r="R137" s="211"/>
      <c r="S137" s="211"/>
      <c r="T137" s="211"/>
      <c r="U137" s="45"/>
      <c r="V137" s="45"/>
      <c r="W137" s="45"/>
      <c r="X137" s="45"/>
      <c r="Y137" s="45"/>
      <c r="Z137" s="45"/>
      <c r="AA137" s="45"/>
      <c r="AB137" s="45"/>
      <c r="AC137" s="45"/>
      <c r="AF137" s="70"/>
      <c r="AG137" s="45"/>
      <c r="AH137" s="45"/>
      <c r="AI137" s="45"/>
      <c r="AJ137" s="45"/>
      <c r="AK137" s="45"/>
      <c r="AL137" s="45"/>
      <c r="AM137" s="45"/>
      <c r="AN137" s="45"/>
      <c r="AO137" s="45"/>
      <c r="AP137" s="45"/>
      <c r="AQ137" s="45"/>
      <c r="AR137" s="45"/>
      <c r="AS137" s="45"/>
      <c r="AT137" s="45"/>
      <c r="AU137" s="208"/>
      <c r="AV137" s="45"/>
      <c r="AW137" s="221"/>
      <c r="AX137" s="221"/>
      <c r="AY137" s="45"/>
      <c r="AZ137" s="208"/>
      <c r="BA137" s="208"/>
      <c r="BB137" s="208"/>
      <c r="BC137" s="208"/>
      <c r="BD137" s="45"/>
      <c r="BE137" s="45"/>
      <c r="BF137" s="221"/>
      <c r="BG137" s="221"/>
      <c r="BH137" s="45"/>
      <c r="BI137" s="45"/>
      <c r="BJ137" s="221"/>
      <c r="BK137" s="221"/>
      <c r="BL137" s="45"/>
    </row>
    <row r="138" spans="1:64" ht="15.75" x14ac:dyDescent="0.2">
      <c r="A138" s="45"/>
      <c r="B138" s="45"/>
      <c r="C138" s="61"/>
      <c r="D138" s="208"/>
      <c r="E138" s="208"/>
      <c r="F138" s="45"/>
      <c r="G138" s="45"/>
      <c r="H138" s="45"/>
      <c r="I138" s="45"/>
      <c r="J138" s="208"/>
      <c r="K138" s="208"/>
      <c r="L138" s="45"/>
      <c r="M138" s="45"/>
      <c r="N138" s="45"/>
      <c r="O138" s="45"/>
      <c r="P138" s="208"/>
      <c r="Q138" s="211"/>
      <c r="R138" s="211"/>
      <c r="S138" s="211"/>
      <c r="T138" s="211"/>
      <c r="U138" s="45"/>
      <c r="V138" s="45"/>
      <c r="W138" s="45"/>
      <c r="X138" s="45"/>
      <c r="Y138" s="45"/>
      <c r="Z138" s="45"/>
      <c r="AA138" s="45"/>
      <c r="AB138" s="45"/>
      <c r="AC138" s="45"/>
      <c r="AF138" s="70"/>
      <c r="AG138" s="45"/>
      <c r="AH138" s="45"/>
      <c r="AI138" s="45"/>
      <c r="AJ138" s="45"/>
      <c r="AK138" s="45"/>
      <c r="AL138" s="45"/>
      <c r="AM138" s="45"/>
      <c r="AN138" s="45"/>
      <c r="AO138" s="45"/>
      <c r="AP138" s="45"/>
      <c r="AQ138" s="45"/>
      <c r="AR138" s="45"/>
      <c r="AS138" s="45"/>
      <c r="AT138" s="45"/>
      <c r="AU138" s="208"/>
      <c r="AV138" s="45"/>
      <c r="AW138" s="221"/>
      <c r="AX138" s="221"/>
      <c r="AY138" s="45"/>
      <c r="AZ138" s="208"/>
      <c r="BA138" s="208"/>
      <c r="BB138" s="208"/>
      <c r="BC138" s="208"/>
      <c r="BD138" s="45"/>
      <c r="BE138" s="45"/>
      <c r="BF138" s="221"/>
      <c r="BG138" s="221"/>
      <c r="BH138" s="45"/>
      <c r="BI138" s="45"/>
      <c r="BJ138" s="221"/>
      <c r="BK138" s="221"/>
      <c r="BL138" s="45"/>
    </row>
    <row r="139" spans="1:64" ht="15.75" x14ac:dyDescent="0.2">
      <c r="AF139" s="70"/>
    </row>
    <row r="140" spans="1:64" ht="15.75" x14ac:dyDescent="0.2">
      <c r="AF140" s="70"/>
    </row>
    <row r="141" spans="1:64" ht="15.75" x14ac:dyDescent="0.2">
      <c r="AF141" s="70"/>
    </row>
    <row r="142" spans="1:64" ht="15.75" x14ac:dyDescent="0.2">
      <c r="AF142" s="70"/>
    </row>
    <row r="143" spans="1:64" ht="15.75" x14ac:dyDescent="0.2">
      <c r="AF143" s="70"/>
    </row>
    <row r="144" spans="1:64" ht="15.75" x14ac:dyDescent="0.2">
      <c r="AF144" s="70"/>
    </row>
    <row r="145" spans="32:32" ht="15.75" x14ac:dyDescent="0.2">
      <c r="AF145" s="70"/>
    </row>
    <row r="146" spans="32:32" ht="15.75" x14ac:dyDescent="0.2">
      <c r="AF146" s="70"/>
    </row>
    <row r="147" spans="32:32" ht="15.75" x14ac:dyDescent="0.2">
      <c r="AF147" s="70"/>
    </row>
    <row r="148" spans="32:32" ht="15.75" x14ac:dyDescent="0.2">
      <c r="AF148" s="70"/>
    </row>
    <row r="149" spans="32:32" ht="15.75" x14ac:dyDescent="0.2">
      <c r="AF149" s="70"/>
    </row>
    <row r="150" spans="32:32" ht="15.75" x14ac:dyDescent="0.2">
      <c r="AF150" s="70"/>
    </row>
    <row r="151" spans="32:32" ht="15.75" x14ac:dyDescent="0.2">
      <c r="AF151" s="70"/>
    </row>
    <row r="152" spans="32:32" ht="15.75" x14ac:dyDescent="0.2">
      <c r="AF152" s="70"/>
    </row>
    <row r="153" spans="32:32" ht="15.75" x14ac:dyDescent="0.2">
      <c r="AF153" s="70"/>
    </row>
    <row r="154" spans="32:32" ht="15.75" x14ac:dyDescent="0.2">
      <c r="AF154" s="70"/>
    </row>
    <row r="155" spans="32:32" ht="15.75" x14ac:dyDescent="0.2">
      <c r="AF155" s="70"/>
    </row>
    <row r="156" spans="32:32" ht="15.75" x14ac:dyDescent="0.2">
      <c r="AF156" s="70"/>
    </row>
    <row r="157" spans="32:32" ht="15.75" x14ac:dyDescent="0.2">
      <c r="AF157" s="70"/>
    </row>
    <row r="158" spans="32:32" ht="15.75" x14ac:dyDescent="0.2">
      <c r="AF158" s="70"/>
    </row>
    <row r="159" spans="32:32" ht="15.75" x14ac:dyDescent="0.2">
      <c r="AF159" s="70"/>
    </row>
    <row r="160" spans="32:32" ht="15.75" x14ac:dyDescent="0.2">
      <c r="AF160" s="70"/>
    </row>
    <row r="161" spans="32:32" ht="15.75" x14ac:dyDescent="0.2">
      <c r="AF161" s="70"/>
    </row>
    <row r="162" spans="32:32" ht="15.75" x14ac:dyDescent="0.2">
      <c r="AF162" s="70"/>
    </row>
    <row r="163" spans="32:32" ht="15.75" x14ac:dyDescent="0.2">
      <c r="AF163" s="70"/>
    </row>
    <row r="164" spans="32:32" ht="15.75" x14ac:dyDescent="0.2">
      <c r="AF164" s="70"/>
    </row>
    <row r="165" spans="32:32" ht="15.75" x14ac:dyDescent="0.2">
      <c r="AF165" s="70"/>
    </row>
    <row r="166" spans="32:32" ht="15.75" x14ac:dyDescent="0.2">
      <c r="AF166" s="70"/>
    </row>
    <row r="167" spans="32:32" ht="15.75" x14ac:dyDescent="0.2">
      <c r="AF167" s="70"/>
    </row>
    <row r="168" spans="32:32" ht="15.75" x14ac:dyDescent="0.2">
      <c r="AF168" s="70"/>
    </row>
    <row r="169" spans="32:32" ht="15.75" x14ac:dyDescent="0.2">
      <c r="AF169" s="70"/>
    </row>
    <row r="170" spans="32:32" ht="15.75" x14ac:dyDescent="0.2">
      <c r="AF170" s="70"/>
    </row>
    <row r="171" spans="32:32" ht="15.75" x14ac:dyDescent="0.2">
      <c r="AF171" s="70"/>
    </row>
    <row r="172" spans="32:32" ht="15.75" x14ac:dyDescent="0.2">
      <c r="AF172" s="70"/>
    </row>
    <row r="173" spans="32:32" ht="15.75" x14ac:dyDescent="0.2">
      <c r="AF173" s="70"/>
    </row>
    <row r="174" spans="32:32" ht="15.75" x14ac:dyDescent="0.2">
      <c r="AF174" s="70"/>
    </row>
    <row r="175" spans="32:32" ht="15.75" x14ac:dyDescent="0.2">
      <c r="AF175" s="70"/>
    </row>
    <row r="176" spans="32:32" ht="15.75" x14ac:dyDescent="0.2">
      <c r="AF176" s="70"/>
    </row>
    <row r="177" spans="32:32" ht="15.75" x14ac:dyDescent="0.2">
      <c r="AF177" s="70"/>
    </row>
    <row r="178" spans="32:32" ht="15.75" x14ac:dyDescent="0.2">
      <c r="AF178" s="70"/>
    </row>
    <row r="179" spans="32:32" ht="15.75" x14ac:dyDescent="0.2">
      <c r="AF179" s="70"/>
    </row>
    <row r="180" spans="32:32" ht="15.75" x14ac:dyDescent="0.2">
      <c r="AF180" s="70"/>
    </row>
    <row r="181" spans="32:32" ht="15.75" x14ac:dyDescent="0.2">
      <c r="AF181" s="70"/>
    </row>
    <row r="182" spans="32:32" ht="15.75" x14ac:dyDescent="0.2">
      <c r="AF182" s="70"/>
    </row>
    <row r="183" spans="32:32" ht="15.75" x14ac:dyDescent="0.2">
      <c r="AF183" s="70"/>
    </row>
    <row r="184" spans="32:32" ht="15.75" x14ac:dyDescent="0.2">
      <c r="AF184" s="70"/>
    </row>
    <row r="185" spans="32:32" ht="15.75" x14ac:dyDescent="0.2">
      <c r="AF185" s="70"/>
    </row>
    <row r="186" spans="32:32" ht="15.75" x14ac:dyDescent="0.2">
      <c r="AF186" s="70"/>
    </row>
    <row r="187" spans="32:32" ht="15.75" x14ac:dyDescent="0.2">
      <c r="AF187" s="70"/>
    </row>
    <row r="188" spans="32:32" ht="15.75" x14ac:dyDescent="0.2">
      <c r="AF188" s="70"/>
    </row>
    <row r="189" spans="32:32" ht="15.75" x14ac:dyDescent="0.2">
      <c r="AF189" s="70"/>
    </row>
    <row r="190" spans="32:32" ht="15.75" x14ac:dyDescent="0.2">
      <c r="AF190" s="70"/>
    </row>
    <row r="191" spans="32:32" ht="15.75" x14ac:dyDescent="0.2">
      <c r="AF191" s="70"/>
    </row>
    <row r="192" spans="32:32" ht="15.75" x14ac:dyDescent="0.2">
      <c r="AF192" s="70"/>
    </row>
    <row r="193" spans="32:32" ht="15.75" x14ac:dyDescent="0.2">
      <c r="AF193" s="70"/>
    </row>
    <row r="194" spans="32:32" ht="15.75" x14ac:dyDescent="0.2">
      <c r="AF194" s="70"/>
    </row>
    <row r="195" spans="32:32" ht="15.75" x14ac:dyDescent="0.2">
      <c r="AF195" s="70"/>
    </row>
    <row r="196" spans="32:32" ht="15.75" x14ac:dyDescent="0.2">
      <c r="AF196" s="70"/>
    </row>
    <row r="197" spans="32:32" ht="15.75" x14ac:dyDescent="0.2">
      <c r="AF197" s="70"/>
    </row>
    <row r="198" spans="32:32" ht="15.75" x14ac:dyDescent="0.2">
      <c r="AF198" s="70"/>
    </row>
    <row r="199" spans="32:32" ht="15.75" x14ac:dyDescent="0.2">
      <c r="AF199" s="70"/>
    </row>
    <row r="200" spans="32:32" ht="15.75" x14ac:dyDescent="0.2">
      <c r="AF200" s="70"/>
    </row>
    <row r="201" spans="32:32" ht="15.75" x14ac:dyDescent="0.2">
      <c r="AF201" s="70"/>
    </row>
    <row r="202" spans="32:32" ht="15.75" x14ac:dyDescent="0.2">
      <c r="AF202" s="70"/>
    </row>
    <row r="203" spans="32:32" ht="15.75" x14ac:dyDescent="0.2">
      <c r="AF203" s="70"/>
    </row>
    <row r="204" spans="32:32" ht="15.75" x14ac:dyDescent="0.2">
      <c r="AF204" s="70"/>
    </row>
    <row r="205" spans="32:32" ht="15.75" x14ac:dyDescent="0.2">
      <c r="AF205" s="70"/>
    </row>
    <row r="206" spans="32:32" ht="15.75" x14ac:dyDescent="0.2">
      <c r="AF206" s="70"/>
    </row>
    <row r="207" spans="32:32" ht="15.75" x14ac:dyDescent="0.2">
      <c r="AF207" s="70"/>
    </row>
    <row r="208" spans="32:32" ht="15.75" x14ac:dyDescent="0.2">
      <c r="AF208" s="70"/>
    </row>
    <row r="209" spans="32:32" ht="15.75" x14ac:dyDescent="0.2">
      <c r="AF209" s="70"/>
    </row>
    <row r="210" spans="32:32" ht="15.75" x14ac:dyDescent="0.2">
      <c r="AF210" s="70"/>
    </row>
    <row r="211" spans="32:32" ht="15.75" x14ac:dyDescent="0.2">
      <c r="AF211" s="70"/>
    </row>
    <row r="212" spans="32:32" ht="15.75" x14ac:dyDescent="0.2">
      <c r="AF212" s="70"/>
    </row>
    <row r="213" spans="32:32" ht="15.75" x14ac:dyDescent="0.2">
      <c r="AF213" s="70"/>
    </row>
    <row r="214" spans="32:32" ht="15.75" x14ac:dyDescent="0.2">
      <c r="AF214" s="70"/>
    </row>
    <row r="215" spans="32:32" ht="15.75" x14ac:dyDescent="0.2">
      <c r="AF215" s="70"/>
    </row>
    <row r="216" spans="32:32" ht="15.75" x14ac:dyDescent="0.2">
      <c r="AF216" s="70"/>
    </row>
    <row r="217" spans="32:32" ht="15.75" x14ac:dyDescent="0.2">
      <c r="AF217" s="70"/>
    </row>
    <row r="218" spans="32:32" ht="15.75" x14ac:dyDescent="0.2">
      <c r="AF218" s="70"/>
    </row>
    <row r="219" spans="32:32" ht="15.75" x14ac:dyDescent="0.2">
      <c r="AF219" s="70"/>
    </row>
    <row r="220" spans="32:32" ht="15.75" x14ac:dyDescent="0.2">
      <c r="AF220" s="70"/>
    </row>
    <row r="221" spans="32:32" ht="15.75" x14ac:dyDescent="0.2">
      <c r="AF221" s="70"/>
    </row>
    <row r="222" spans="32:32" ht="15.75" x14ac:dyDescent="0.2">
      <c r="AF222" s="70"/>
    </row>
    <row r="223" spans="32:32" ht="15.75" x14ac:dyDescent="0.2">
      <c r="AF223" s="70"/>
    </row>
    <row r="224" spans="32:32" ht="15.75" x14ac:dyDescent="0.2">
      <c r="AF224" s="70"/>
    </row>
    <row r="225" spans="32:32" ht="15.75" x14ac:dyDescent="0.2">
      <c r="AF225" s="70"/>
    </row>
    <row r="226" spans="32:32" ht="15.75" x14ac:dyDescent="0.2">
      <c r="AF226" s="70"/>
    </row>
    <row r="227" spans="32:32" ht="15.75" x14ac:dyDescent="0.2">
      <c r="AF227" s="70"/>
    </row>
    <row r="228" spans="32:32" ht="15.75" x14ac:dyDescent="0.2">
      <c r="AF228" s="70"/>
    </row>
    <row r="229" spans="32:32" ht="15.75" x14ac:dyDescent="0.2">
      <c r="AF229" s="70"/>
    </row>
    <row r="230" spans="32:32" ht="15.75" x14ac:dyDescent="0.2">
      <c r="AF230" s="70"/>
    </row>
    <row r="231" spans="32:32" ht="15.75" x14ac:dyDescent="0.2">
      <c r="AF231" s="70"/>
    </row>
    <row r="232" spans="32:32" ht="15.75" x14ac:dyDescent="0.2">
      <c r="AF232" s="70"/>
    </row>
    <row r="233" spans="32:32" ht="15.75" x14ac:dyDescent="0.2">
      <c r="AF233" s="70"/>
    </row>
    <row r="234" spans="32:32" ht="15.75" x14ac:dyDescent="0.2">
      <c r="AF234" s="70"/>
    </row>
    <row r="235" spans="32:32" ht="15.75" x14ac:dyDescent="0.2">
      <c r="AF235" s="70"/>
    </row>
    <row r="236" spans="32:32" ht="15.75" x14ac:dyDescent="0.2">
      <c r="AF236" s="70"/>
    </row>
    <row r="237" spans="32:32" ht="15.75" x14ac:dyDescent="0.2">
      <c r="AF237" s="70"/>
    </row>
    <row r="238" spans="32:32" ht="15.75" x14ac:dyDescent="0.2">
      <c r="AF238" s="70"/>
    </row>
    <row r="239" spans="32:32" ht="15.75" x14ac:dyDescent="0.2">
      <c r="AF239" s="70"/>
    </row>
    <row r="240" spans="32:32" ht="15.75" x14ac:dyDescent="0.2">
      <c r="AF240" s="70"/>
    </row>
    <row r="241" spans="32:32" ht="15.75" x14ac:dyDescent="0.2">
      <c r="AF241" s="70"/>
    </row>
    <row r="242" spans="32:32" ht="15.75" x14ac:dyDescent="0.2">
      <c r="AF242" s="70"/>
    </row>
    <row r="243" spans="32:32" ht="15.75" x14ac:dyDescent="0.2">
      <c r="AF243" s="70"/>
    </row>
    <row r="244" spans="32:32" ht="15.75" x14ac:dyDescent="0.2">
      <c r="AF244" s="70"/>
    </row>
    <row r="245" spans="32:32" ht="15.75" x14ac:dyDescent="0.2">
      <c r="AF245" s="70"/>
    </row>
    <row r="246" spans="32:32" ht="15.75" x14ac:dyDescent="0.2">
      <c r="AF246" s="70"/>
    </row>
    <row r="247" spans="32:32" ht="15.75" x14ac:dyDescent="0.2">
      <c r="AF247" s="70"/>
    </row>
    <row r="248" spans="32:32" ht="15.75" x14ac:dyDescent="0.2">
      <c r="AF248" s="70"/>
    </row>
    <row r="249" spans="32:32" ht="15.75" x14ac:dyDescent="0.2">
      <c r="AF249" s="70"/>
    </row>
    <row r="250" spans="32:32" ht="15.75" x14ac:dyDescent="0.2">
      <c r="AF250" s="70"/>
    </row>
    <row r="251" spans="32:32" ht="15.75" x14ac:dyDescent="0.2">
      <c r="AF251" s="70"/>
    </row>
    <row r="252" spans="32:32" ht="15.75" x14ac:dyDescent="0.2">
      <c r="AF252" s="70"/>
    </row>
    <row r="253" spans="32:32" ht="15.75" x14ac:dyDescent="0.2">
      <c r="AF253" s="70"/>
    </row>
    <row r="254" spans="32:32" ht="15.75" x14ac:dyDescent="0.2">
      <c r="AF254" s="70"/>
    </row>
    <row r="255" spans="32:32" ht="15.75" x14ac:dyDescent="0.2">
      <c r="AF255" s="70"/>
    </row>
    <row r="256" spans="32:32" ht="15.75" x14ac:dyDescent="0.2">
      <c r="AF256" s="70"/>
    </row>
    <row r="257" spans="32:32" ht="15.75" x14ac:dyDescent="0.2">
      <c r="AF257" s="70"/>
    </row>
    <row r="258" spans="32:32" ht="15.75" x14ac:dyDescent="0.2">
      <c r="AF258" s="70"/>
    </row>
    <row r="259" spans="32:32" ht="15.75" x14ac:dyDescent="0.2">
      <c r="AF259" s="70"/>
    </row>
    <row r="260" spans="32:32" ht="15.75" x14ac:dyDescent="0.2">
      <c r="AF260" s="70"/>
    </row>
    <row r="261" spans="32:32" ht="15.75" x14ac:dyDescent="0.2">
      <c r="AF261" s="70"/>
    </row>
    <row r="262" spans="32:32" ht="15.75" x14ac:dyDescent="0.2">
      <c r="AF262" s="70"/>
    </row>
    <row r="263" spans="32:32" ht="15.75" x14ac:dyDescent="0.2">
      <c r="AF263" s="70"/>
    </row>
    <row r="264" spans="32:32" ht="15.75" x14ac:dyDescent="0.2">
      <c r="AF264" s="70"/>
    </row>
    <row r="265" spans="32:32" ht="15.75" x14ac:dyDescent="0.2">
      <c r="AF265" s="70"/>
    </row>
    <row r="266" spans="32:32" ht="15.75" x14ac:dyDescent="0.2">
      <c r="AF266" s="70"/>
    </row>
    <row r="267" spans="32:32" ht="15.75" x14ac:dyDescent="0.2">
      <c r="AF267" s="70"/>
    </row>
    <row r="268" spans="32:32" ht="15.75" x14ac:dyDescent="0.2">
      <c r="AF268" s="70"/>
    </row>
    <row r="269" spans="32:32" ht="15.75" x14ac:dyDescent="0.2">
      <c r="AF269" s="70"/>
    </row>
    <row r="270" spans="32:32" ht="15.75" x14ac:dyDescent="0.2">
      <c r="AF270" s="70"/>
    </row>
    <row r="271" spans="32:32" ht="15.75" x14ac:dyDescent="0.2">
      <c r="AF271" s="70"/>
    </row>
    <row r="272" spans="32:32" ht="15.75" x14ac:dyDescent="0.2">
      <c r="AF272" s="70"/>
    </row>
    <row r="273" spans="32:32" ht="15.75" x14ac:dyDescent="0.2">
      <c r="AF273" s="70"/>
    </row>
    <row r="274" spans="32:32" ht="15.75" x14ac:dyDescent="0.2">
      <c r="AF274" s="70"/>
    </row>
    <row r="275" spans="32:32" ht="15.75" x14ac:dyDescent="0.2">
      <c r="AF275" s="70"/>
    </row>
    <row r="276" spans="32:32" ht="15.75" x14ac:dyDescent="0.2">
      <c r="AF276" s="70"/>
    </row>
    <row r="277" spans="32:32" ht="15.75" x14ac:dyDescent="0.2">
      <c r="AF277" s="70"/>
    </row>
    <row r="278" spans="32:32" ht="15.75" x14ac:dyDescent="0.2">
      <c r="AF278" s="70"/>
    </row>
    <row r="279" spans="32:32" ht="15.75" x14ac:dyDescent="0.2">
      <c r="AF279" s="70"/>
    </row>
    <row r="280" spans="32:32" ht="15.75" x14ac:dyDescent="0.2">
      <c r="AF280" s="70"/>
    </row>
    <row r="281" spans="32:32" ht="15.75" x14ac:dyDescent="0.2">
      <c r="AF281" s="70"/>
    </row>
    <row r="282" spans="32:32" ht="15.75" x14ac:dyDescent="0.2">
      <c r="AF282" s="70"/>
    </row>
    <row r="283" spans="32:32" ht="15.75" x14ac:dyDescent="0.2">
      <c r="AF283" s="70"/>
    </row>
    <row r="284" spans="32:32" ht="15.75" x14ac:dyDescent="0.2">
      <c r="AF284" s="70"/>
    </row>
    <row r="285" spans="32:32" ht="15.75" x14ac:dyDescent="0.2">
      <c r="AF285" s="70"/>
    </row>
    <row r="286" spans="32:32" ht="15.75" x14ac:dyDescent="0.2">
      <c r="AF286" s="70"/>
    </row>
    <row r="287" spans="32:32" ht="15.75" x14ac:dyDescent="0.2">
      <c r="AF287" s="70"/>
    </row>
    <row r="288" spans="32:32" ht="15.75" x14ac:dyDescent="0.2">
      <c r="AF288" s="70"/>
    </row>
    <row r="289" spans="32:32" ht="15.75" x14ac:dyDescent="0.2">
      <c r="AF289" s="70"/>
    </row>
    <row r="290" spans="32:32" ht="15.75" x14ac:dyDescent="0.2">
      <c r="AF290" s="70"/>
    </row>
    <row r="291" spans="32:32" ht="15.75" x14ac:dyDescent="0.2">
      <c r="AF291" s="70"/>
    </row>
    <row r="292" spans="32:32" ht="15.75" x14ac:dyDescent="0.2">
      <c r="AF292" s="70"/>
    </row>
    <row r="293" spans="32:32" ht="15.75" x14ac:dyDescent="0.2">
      <c r="AF293" s="70"/>
    </row>
    <row r="294" spans="32:32" ht="15.75" x14ac:dyDescent="0.2">
      <c r="AF294" s="70"/>
    </row>
    <row r="295" spans="32:32" ht="15.75" x14ac:dyDescent="0.2">
      <c r="AF295" s="70"/>
    </row>
    <row r="296" spans="32:32" ht="15.75" x14ac:dyDescent="0.2">
      <c r="AF296" s="70"/>
    </row>
    <row r="297" spans="32:32" ht="15.75" x14ac:dyDescent="0.2">
      <c r="AF297" s="70"/>
    </row>
    <row r="298" spans="32:32" ht="15.75" x14ac:dyDescent="0.2">
      <c r="AF298" s="70"/>
    </row>
    <row r="299" spans="32:32" ht="15.75" x14ac:dyDescent="0.2">
      <c r="AF299" s="70"/>
    </row>
    <row r="300" spans="32:32" ht="15.75" x14ac:dyDescent="0.2">
      <c r="AF300" s="70"/>
    </row>
    <row r="301" spans="32:32" ht="15.75" x14ac:dyDescent="0.2">
      <c r="AF301" s="70"/>
    </row>
    <row r="302" spans="32:32" ht="15.75" x14ac:dyDescent="0.2">
      <c r="AF302" s="70"/>
    </row>
    <row r="303" spans="32:32" ht="15.75" x14ac:dyDescent="0.2">
      <c r="AF303" s="70"/>
    </row>
    <row r="304" spans="32:32" ht="15.75" x14ac:dyDescent="0.2">
      <c r="AF304" s="70"/>
    </row>
    <row r="305" spans="32:32" ht="15.75" x14ac:dyDescent="0.2">
      <c r="AF305" s="70"/>
    </row>
    <row r="306" spans="32:32" ht="15.75" x14ac:dyDescent="0.2">
      <c r="AF306" s="70"/>
    </row>
    <row r="307" spans="32:32" ht="15.75" x14ac:dyDescent="0.2">
      <c r="AF307" s="70"/>
    </row>
    <row r="308" spans="32:32" ht="15.75" x14ac:dyDescent="0.2">
      <c r="AF308" s="70"/>
    </row>
    <row r="309" spans="32:32" ht="15.75" x14ac:dyDescent="0.2">
      <c r="AF309" s="70"/>
    </row>
    <row r="310" spans="32:32" ht="15.75" x14ac:dyDescent="0.2">
      <c r="AF310" s="70"/>
    </row>
    <row r="311" spans="32:32" ht="15.75" x14ac:dyDescent="0.2">
      <c r="AF311" s="70"/>
    </row>
    <row r="312" spans="32:32" ht="15.75" x14ac:dyDescent="0.2">
      <c r="AF312" s="70"/>
    </row>
    <row r="313" spans="32:32" ht="15.75" x14ac:dyDescent="0.2">
      <c r="AF313" s="70"/>
    </row>
    <row r="314" spans="32:32" ht="15.75" x14ac:dyDescent="0.2">
      <c r="AF314" s="70"/>
    </row>
    <row r="315" spans="32:32" ht="15.75" x14ac:dyDescent="0.2">
      <c r="AF315" s="70"/>
    </row>
    <row r="316" spans="32:32" ht="15.75" x14ac:dyDescent="0.2">
      <c r="AF316" s="70"/>
    </row>
    <row r="317" spans="32:32" ht="15.75" x14ac:dyDescent="0.2">
      <c r="AF317" s="70"/>
    </row>
    <row r="318" spans="32:32" ht="15.75" x14ac:dyDescent="0.2">
      <c r="AF318" s="70"/>
    </row>
    <row r="319" spans="32:32" ht="15.75" x14ac:dyDescent="0.2">
      <c r="AF319" s="70"/>
    </row>
    <row r="320" spans="32:32" ht="15.75" x14ac:dyDescent="0.2">
      <c r="AF320" s="70"/>
    </row>
    <row r="321" spans="32:32" ht="15.75" x14ac:dyDescent="0.2">
      <c r="AF321" s="70"/>
    </row>
    <row r="322" spans="32:32" ht="15.75" x14ac:dyDescent="0.2">
      <c r="AF322" s="70"/>
    </row>
    <row r="323" spans="32:32" ht="15.75" x14ac:dyDescent="0.2">
      <c r="AF323" s="70"/>
    </row>
    <row r="324" spans="32:32" ht="15.75" x14ac:dyDescent="0.2">
      <c r="AF324" s="70"/>
    </row>
    <row r="325" spans="32:32" ht="15.75" x14ac:dyDescent="0.2">
      <c r="AF325" s="70"/>
    </row>
    <row r="326" spans="32:32" ht="15.75" x14ac:dyDescent="0.2">
      <c r="AF326" s="70"/>
    </row>
    <row r="327" spans="32:32" ht="15.75" x14ac:dyDescent="0.2">
      <c r="AF327" s="70"/>
    </row>
    <row r="328" spans="32:32" ht="15.75" x14ac:dyDescent="0.2">
      <c r="AF328" s="70"/>
    </row>
    <row r="329" spans="32:32" ht="15.75" x14ac:dyDescent="0.2">
      <c r="AF329" s="70"/>
    </row>
    <row r="330" spans="32:32" ht="15.75" x14ac:dyDescent="0.2">
      <c r="AF330" s="70"/>
    </row>
    <row r="331" spans="32:32" ht="15.75" x14ac:dyDescent="0.2">
      <c r="AF331" s="70"/>
    </row>
    <row r="332" spans="32:32" ht="15.75" x14ac:dyDescent="0.2">
      <c r="AF332" s="70"/>
    </row>
    <row r="333" spans="32:32" ht="15.75" x14ac:dyDescent="0.2">
      <c r="AF333" s="70"/>
    </row>
    <row r="334" spans="32:32" ht="15.75" x14ac:dyDescent="0.2">
      <c r="AF334" s="70"/>
    </row>
    <row r="335" spans="32:32" ht="15.75" x14ac:dyDescent="0.2">
      <c r="AF335" s="70"/>
    </row>
    <row r="336" spans="32:32" ht="15.75" x14ac:dyDescent="0.2">
      <c r="AF336" s="70"/>
    </row>
    <row r="337" spans="32:32" ht="15.75" x14ac:dyDescent="0.2">
      <c r="AF337" s="70"/>
    </row>
    <row r="338" spans="32:32" ht="15.75" x14ac:dyDescent="0.2">
      <c r="AF338" s="70"/>
    </row>
    <row r="339" spans="32:32" ht="15.75" x14ac:dyDescent="0.2">
      <c r="AF339" s="70"/>
    </row>
    <row r="340" spans="32:32" ht="15.75" x14ac:dyDescent="0.2">
      <c r="AF340" s="70"/>
    </row>
    <row r="341" spans="32:32" ht="15.75" x14ac:dyDescent="0.2">
      <c r="AF341" s="70"/>
    </row>
    <row r="342" spans="32:32" ht="15.75" x14ac:dyDescent="0.2">
      <c r="AF342" s="70"/>
    </row>
    <row r="343" spans="32:32" ht="15.75" x14ac:dyDescent="0.2">
      <c r="AF343" s="70"/>
    </row>
    <row r="344" spans="32:32" ht="15.75" x14ac:dyDescent="0.2">
      <c r="AF344" s="70"/>
    </row>
    <row r="345" spans="32:32" ht="15.75" x14ac:dyDescent="0.2">
      <c r="AF345" s="70"/>
    </row>
    <row r="346" spans="32:32" ht="15.75" x14ac:dyDescent="0.2">
      <c r="AF346" s="70"/>
    </row>
    <row r="347" spans="32:32" ht="15.75" x14ac:dyDescent="0.2">
      <c r="AF347" s="70"/>
    </row>
    <row r="348" spans="32:32" ht="15.75" x14ac:dyDescent="0.2">
      <c r="AF348" s="70"/>
    </row>
    <row r="349" spans="32:32" ht="15.75" x14ac:dyDescent="0.2">
      <c r="AF349" s="70"/>
    </row>
    <row r="350" spans="32:32" ht="15.75" x14ac:dyDescent="0.2">
      <c r="AF350" s="70"/>
    </row>
    <row r="351" spans="32:32" ht="15.75" x14ac:dyDescent="0.2">
      <c r="AF351" s="70"/>
    </row>
    <row r="352" spans="32:32" ht="15.75" x14ac:dyDescent="0.2">
      <c r="AF352" s="70"/>
    </row>
    <row r="353" spans="32:32" ht="15.75" x14ac:dyDescent="0.2">
      <c r="AF353" s="70"/>
    </row>
    <row r="354" spans="32:32" ht="15.75" x14ac:dyDescent="0.2">
      <c r="AF354" s="70"/>
    </row>
    <row r="355" spans="32:32" ht="15.75" x14ac:dyDescent="0.2">
      <c r="AF355" s="70"/>
    </row>
    <row r="356" spans="32:32" ht="15.75" x14ac:dyDescent="0.2">
      <c r="AF356" s="70"/>
    </row>
    <row r="357" spans="32:32" ht="15.75" x14ac:dyDescent="0.2">
      <c r="AF357" s="70"/>
    </row>
    <row r="358" spans="32:32" ht="15.75" x14ac:dyDescent="0.2">
      <c r="AF358" s="70"/>
    </row>
    <row r="359" spans="32:32" ht="15.75" x14ac:dyDescent="0.2">
      <c r="AF359" s="70"/>
    </row>
    <row r="360" spans="32:32" ht="15.75" x14ac:dyDescent="0.2">
      <c r="AF360" s="70"/>
    </row>
    <row r="361" spans="32:32" ht="15.75" x14ac:dyDescent="0.2">
      <c r="AF361" s="70"/>
    </row>
    <row r="362" spans="32:32" ht="15.75" x14ac:dyDescent="0.2">
      <c r="AF362" s="70"/>
    </row>
    <row r="363" spans="32:32" ht="15.75" x14ac:dyDescent="0.2">
      <c r="AF363" s="70"/>
    </row>
    <row r="364" spans="32:32" ht="15.75" x14ac:dyDescent="0.2">
      <c r="AF364" s="70"/>
    </row>
    <row r="365" spans="32:32" ht="15.75" x14ac:dyDescent="0.2">
      <c r="AF365" s="70"/>
    </row>
    <row r="366" spans="32:32" ht="15.75" x14ac:dyDescent="0.2">
      <c r="AF366" s="70"/>
    </row>
    <row r="367" spans="32:32" ht="15.75" x14ac:dyDescent="0.2">
      <c r="AF367" s="70"/>
    </row>
    <row r="368" spans="32:32" ht="15.75" x14ac:dyDescent="0.2">
      <c r="AF368" s="70"/>
    </row>
    <row r="369" spans="32:32" ht="15.75" x14ac:dyDescent="0.2">
      <c r="AF369" s="70"/>
    </row>
    <row r="370" spans="32:32" ht="15.75" x14ac:dyDescent="0.2">
      <c r="AF370" s="70"/>
    </row>
    <row r="371" spans="32:32" ht="15.75" x14ac:dyDescent="0.2">
      <c r="AF371" s="70"/>
    </row>
    <row r="372" spans="32:32" ht="15.75" x14ac:dyDescent="0.2">
      <c r="AF372" s="70"/>
    </row>
    <row r="373" spans="32:32" ht="15.75" x14ac:dyDescent="0.2">
      <c r="AF373" s="70"/>
    </row>
    <row r="374" spans="32:32" ht="15.75" x14ac:dyDescent="0.2">
      <c r="AF374" s="70"/>
    </row>
    <row r="375" spans="32:32" ht="15.75" x14ac:dyDescent="0.2">
      <c r="AF375" s="70"/>
    </row>
    <row r="376" spans="32:32" ht="15.75" x14ac:dyDescent="0.2">
      <c r="AF376" s="70"/>
    </row>
    <row r="377" spans="32:32" ht="15.75" x14ac:dyDescent="0.2">
      <c r="AF377" s="70"/>
    </row>
    <row r="378" spans="32:32" ht="15.75" x14ac:dyDescent="0.2">
      <c r="AF378" s="70"/>
    </row>
    <row r="379" spans="32:32" ht="15.75" x14ac:dyDescent="0.2">
      <c r="AF379" s="70"/>
    </row>
    <row r="380" spans="32:32" ht="15.75" x14ac:dyDescent="0.2">
      <c r="AF380" s="70"/>
    </row>
    <row r="381" spans="32:32" ht="15.75" x14ac:dyDescent="0.2">
      <c r="AF381" s="70"/>
    </row>
    <row r="382" spans="32:32" ht="15.75" x14ac:dyDescent="0.2">
      <c r="AF382" s="70"/>
    </row>
    <row r="383" spans="32:32" ht="15.75" x14ac:dyDescent="0.2">
      <c r="AF383" s="70"/>
    </row>
    <row r="384" spans="32:32" ht="15.75" x14ac:dyDescent="0.2">
      <c r="AF384" s="70"/>
    </row>
    <row r="385" spans="32:32" ht="15.75" x14ac:dyDescent="0.2">
      <c r="AF385" s="70"/>
    </row>
    <row r="386" spans="32:32" ht="15.75" x14ac:dyDescent="0.2">
      <c r="AF386" s="70"/>
    </row>
    <row r="387" spans="32:32" ht="15.75" x14ac:dyDescent="0.2">
      <c r="AF387" s="70"/>
    </row>
    <row r="388" spans="32:32" ht="15.75" x14ac:dyDescent="0.2">
      <c r="AF388" s="70"/>
    </row>
    <row r="389" spans="32:32" ht="15.75" x14ac:dyDescent="0.2">
      <c r="AF389" s="70"/>
    </row>
    <row r="390" spans="32:32" ht="15.75" x14ac:dyDescent="0.2">
      <c r="AF390" s="70"/>
    </row>
    <row r="391" spans="32:32" ht="15.75" x14ac:dyDescent="0.2">
      <c r="AF391" s="70"/>
    </row>
    <row r="392" spans="32:32" ht="15.75" x14ac:dyDescent="0.2">
      <c r="AF392" s="70"/>
    </row>
    <row r="393" spans="32:32" ht="15.75" x14ac:dyDescent="0.2">
      <c r="AF393" s="70"/>
    </row>
    <row r="394" spans="32:32" ht="15.75" x14ac:dyDescent="0.2">
      <c r="AF394" s="70"/>
    </row>
    <row r="395" spans="32:32" ht="15.75" x14ac:dyDescent="0.2">
      <c r="AF395" s="70"/>
    </row>
    <row r="396" spans="32:32" ht="15.75" x14ac:dyDescent="0.2">
      <c r="AF396" s="70"/>
    </row>
    <row r="397" spans="32:32" ht="15.75" x14ac:dyDescent="0.2">
      <c r="AF397" s="70"/>
    </row>
    <row r="398" spans="32:32" ht="15.75" x14ac:dyDescent="0.2">
      <c r="AF398" s="70"/>
    </row>
    <row r="399" spans="32:32" ht="15.75" x14ac:dyDescent="0.2">
      <c r="AF399" s="70"/>
    </row>
    <row r="400" spans="32:32" ht="15.75" x14ac:dyDescent="0.2">
      <c r="AF400" s="70"/>
    </row>
    <row r="401" spans="32:32" ht="15.75" x14ac:dyDescent="0.2">
      <c r="AF401" s="70"/>
    </row>
    <row r="402" spans="32:32" ht="15.75" x14ac:dyDescent="0.2">
      <c r="AF402" s="70"/>
    </row>
    <row r="403" spans="32:32" ht="15.75" x14ac:dyDescent="0.2">
      <c r="AF403" s="70"/>
    </row>
    <row r="404" spans="32:32" ht="15.75" x14ac:dyDescent="0.2">
      <c r="AF404" s="48"/>
    </row>
    <row r="405" spans="32:32" x14ac:dyDescent="0.2">
      <c r="AF405" s="49"/>
    </row>
    <row r="410" spans="32:32" x14ac:dyDescent="0.2">
      <c r="AF410" s="45"/>
    </row>
    <row r="411" spans="32:32" x14ac:dyDescent="0.2">
      <c r="AF411" s="45"/>
    </row>
    <row r="412" spans="32:32" x14ac:dyDescent="0.2">
      <c r="AF412" s="45"/>
    </row>
    <row r="413" spans="32:32" x14ac:dyDescent="0.2">
      <c r="AF413" s="45"/>
    </row>
    <row r="414" spans="32:32" x14ac:dyDescent="0.2">
      <c r="AF414" s="45"/>
    </row>
  </sheetData>
  <sheetProtection insertRows="0" deleteRows="0"/>
  <protectedRanges>
    <protectedRange sqref="F95" name="Rango1_1_27_7"/>
    <protectedRange sqref="F96" name="Rango1_1_27_8"/>
  </protectedRanges>
  <autoFilter ref="A9:BE133" xr:uid="{00000000-0009-0000-0000-000000000000}"/>
  <mergeCells count="87">
    <mergeCell ref="S131:T131"/>
    <mergeCell ref="U131:AU131"/>
    <mergeCell ref="AW7:AX7"/>
    <mergeCell ref="A2:BE5"/>
    <mergeCell ref="A130:C130"/>
    <mergeCell ref="A131:C131"/>
    <mergeCell ref="D130:R130"/>
    <mergeCell ref="D131:R131"/>
    <mergeCell ref="AJ8:BE8"/>
    <mergeCell ref="U8:AB8"/>
    <mergeCell ref="AD8:AI8"/>
    <mergeCell ref="AW131:AX131"/>
    <mergeCell ref="U130:AU130"/>
    <mergeCell ref="AW130:AX130"/>
    <mergeCell ref="AW6:AX6"/>
    <mergeCell ref="S130:T130"/>
    <mergeCell ref="BF1:BG1"/>
    <mergeCell ref="BJ1:BK1"/>
    <mergeCell ref="BF2:BG2"/>
    <mergeCell ref="BJ2:BK2"/>
    <mergeCell ref="AW1:AX1"/>
    <mergeCell ref="BF3:BG3"/>
    <mergeCell ref="BJ3:BK3"/>
    <mergeCell ref="BF4:BG4"/>
    <mergeCell ref="BJ4:BK4"/>
    <mergeCell ref="BF5:BG5"/>
    <mergeCell ref="BJ5:BK5"/>
    <mergeCell ref="BF6:BG6"/>
    <mergeCell ref="BJ6:BK6"/>
    <mergeCell ref="BF7:BG7"/>
    <mergeCell ref="BJ7:BK7"/>
    <mergeCell ref="BT9:BT15"/>
    <mergeCell ref="BU9:BU15"/>
    <mergeCell ref="A8:F8"/>
    <mergeCell ref="H8:I8"/>
    <mergeCell ref="J8:P8"/>
    <mergeCell ref="Q8:R8"/>
    <mergeCell ref="S8:T8"/>
    <mergeCell ref="BF8:BG8"/>
    <mergeCell ref="BJ8:BK8"/>
    <mergeCell ref="BG9:BH15"/>
    <mergeCell ref="BI9:BJ15"/>
    <mergeCell ref="BF9:BF15"/>
    <mergeCell ref="BF131:BG131"/>
    <mergeCell ref="BJ131:BK131"/>
    <mergeCell ref="BX9:BX15"/>
    <mergeCell ref="BM9:BM15"/>
    <mergeCell ref="BL9:BL15"/>
    <mergeCell ref="BK9:BK15"/>
    <mergeCell ref="BN9:BN15"/>
    <mergeCell ref="BO9:BO15"/>
    <mergeCell ref="BP9:BP15"/>
    <mergeCell ref="BQ9:BQ15"/>
    <mergeCell ref="BR9:BS15"/>
    <mergeCell ref="BV9:BW15"/>
    <mergeCell ref="BF129:BG129"/>
    <mergeCell ref="BJ129:BK129"/>
    <mergeCell ref="BF130:BG130"/>
    <mergeCell ref="BJ130:BK130"/>
    <mergeCell ref="BF132:BG132"/>
    <mergeCell ref="BJ132:BK132"/>
    <mergeCell ref="AW133:AX133"/>
    <mergeCell ref="BF133:BG133"/>
    <mergeCell ref="BJ133:BK133"/>
    <mergeCell ref="A132:C132"/>
    <mergeCell ref="D132:R132"/>
    <mergeCell ref="S132:T132"/>
    <mergeCell ref="U132:AU132"/>
    <mergeCell ref="AW132:AX132"/>
    <mergeCell ref="AW134:AX134"/>
    <mergeCell ref="BF134:BG134"/>
    <mergeCell ref="BJ134:BK134"/>
    <mergeCell ref="A133:C133"/>
    <mergeCell ref="D133:R133"/>
    <mergeCell ref="S133:T133"/>
    <mergeCell ref="AW135:AX135"/>
    <mergeCell ref="BF135:BG135"/>
    <mergeCell ref="BJ135:BK135"/>
    <mergeCell ref="AW136:AX136"/>
    <mergeCell ref="BF136:BG136"/>
    <mergeCell ref="BJ136:BK136"/>
    <mergeCell ref="AW137:AX137"/>
    <mergeCell ref="BF137:BG137"/>
    <mergeCell ref="BJ137:BK137"/>
    <mergeCell ref="AW138:AX138"/>
    <mergeCell ref="BF138:BG138"/>
    <mergeCell ref="BJ138:BK138"/>
  </mergeCells>
  <phoneticPr fontId="25" type="noConversion"/>
  <dataValidations count="16">
    <dataValidation type="list" allowBlank="1" showInputMessage="1" showErrorMessage="1" sqref="O14:O20 O22:O42 O47:O51 O57:O81 O83:O88 O94:O100 O111:O129" xr:uid="{00000000-0002-0000-0000-000000000000}">
      <formula1>Frecuencia</formula1>
    </dataValidation>
    <dataValidation type="list" allowBlank="1" showInputMessage="1" showErrorMessage="1" sqref="U14:AB42 U47:AB51 U57:AB66 U94:AB100 U67:Z68 U71:AC74 U69:AB70 U75:AB86 U87:Z88 U111:AB129" xr:uid="{00000000-0002-0000-0000-000001000000}">
      <formula1>"SI,NO,N/A"</formula1>
    </dataValidation>
    <dataValidation type="list" allowBlank="1" showInputMessage="1" showErrorMessage="1" sqref="J14:J20 J22:J42 J47:J51 J111:J129 J83:J88 J94:J100 J57:J63 J65:J81" xr:uid="{00000000-0002-0000-0000-000002000000}">
      <formula1>"FÍSICO, DIGITAL, AMBOS"</formula1>
    </dataValidation>
    <dataValidation type="list" allowBlank="1" showInputMessage="1" showErrorMessage="1" sqref="K14:K42 K47:K51 K57:K88 K94:K100 K111:K129" xr:uid="{00000000-0002-0000-0000-000003000000}">
      <formula1>"ESPAÑOL,INGLÉS"</formula1>
    </dataValidation>
    <dataValidation type="list" allowBlank="1" showInputMessage="1" showErrorMessage="1" sqref="L14:L20 L22:L42 L47:L51 L111:L129 L94:L100 L57:L63 L65:L88" xr:uid="{00000000-0002-0000-0000-000004000000}">
      <formula1>"INFORMACIÓN PUBLICADA, INFORMACIÓN DISPONIBLE"</formula1>
    </dataValidation>
    <dataValidation type="list" allowBlank="1" showErrorMessage="1" sqref="J10:J13 J43:J46 J52:J56 J101:J110" xr:uid="{00000000-0002-0000-0000-000005000000}">
      <formula1>"FÍSICO,DIGITAL,AMBOS"</formula1>
    </dataValidation>
    <dataValidation type="list" allowBlank="1" showErrorMessage="1" sqref="K10:K13 K43:K46 K52:K56 K101:K110" xr:uid="{00000000-0002-0000-0000-000006000000}">
      <formula1>"ESPAÑOL,INGLÉS"</formula1>
    </dataValidation>
    <dataValidation type="list" allowBlank="1" showErrorMessage="1" sqref="U10:AB13 U43:AB46 U52:AB56 U101:AB110" xr:uid="{00000000-0002-0000-0000-000007000000}">
      <formula1>"SI,NO,N/A"</formula1>
    </dataValidation>
    <dataValidation type="list" allowBlank="1" showErrorMessage="1" sqref="O10:O13 O43:O46 O52:O56 O101:O110" xr:uid="{00000000-0002-0000-0000-000008000000}">
      <formula1>Frecuencia</formula1>
    </dataValidation>
    <dataValidation type="list" allowBlank="1" showErrorMessage="1" sqref="L10:L13 L43:L46 L52:L56 L101:L110" xr:uid="{00000000-0002-0000-0000-000009000000}">
      <formula1>"INFORMACIÓN PUBLICADA,INFORMACIÓN DISPONIBLE"</formula1>
    </dataValidation>
    <dataValidation type="list" allowBlank="1" showInputMessage="1" showErrorMessage="1" sqref="C66" xr:uid="{00000000-0002-0000-0000-00000A000000}">
      <formula1>INDIRECT(B66)</formula1>
    </dataValidation>
    <dataValidation type="list" allowBlank="1" showInputMessage="1" showErrorMessage="1" sqref="L89:L93" xr:uid="{00000000-0002-0000-0000-00000B000000}">
      <formula1>"INFORMACIÓN PUBLICADA,INFORMACIÓN DISPONIBLE"</formula1>
      <formula2>0</formula2>
    </dataValidation>
    <dataValidation type="list" allowBlank="1" showInputMessage="1" showErrorMessage="1" sqref="K89:K93" xr:uid="{00000000-0002-0000-0000-00000C000000}">
      <formula1>"ESPAÑOL,INGLÉS"</formula1>
      <formula2>0</formula2>
    </dataValidation>
    <dataValidation type="list" allowBlank="1" showInputMessage="1" showErrorMessage="1" sqref="J89:J93" xr:uid="{00000000-0002-0000-0000-00000D000000}">
      <formula1>"FÍSICO,DIGITAL,AMBOS"</formula1>
      <formula2>0</formula2>
    </dataValidation>
    <dataValidation type="list" allowBlank="1" showInputMessage="1" showErrorMessage="1" sqref="U89:AB93" xr:uid="{00000000-0002-0000-0000-00000E000000}">
      <formula1>"SI,NO,N/A"</formula1>
      <formula2>0</formula2>
    </dataValidation>
    <dataValidation type="list" allowBlank="1" showInputMessage="1" showErrorMessage="1" sqref="O89:O93" xr:uid="{00000000-0002-0000-0000-00000F000000}">
      <formula1>Frecuencia</formula1>
      <formula2>0</formula2>
    </dataValidation>
  </dataValidations>
  <hyperlinks>
    <hyperlink ref="N76" r:id="rId1" display="https://www.bogotadistritografiti.gov.co/" xr:uid="{00000000-0004-0000-0000-000000000000}"/>
    <hyperlink ref="N126" r:id="rId2" xr:uid="{00000000-0004-0000-0000-000001000000}"/>
    <hyperlink ref="N127" r:id="rId3" xr:uid="{00000000-0004-0000-0000-000002000000}"/>
    <hyperlink ref="N128" r:id="rId4" xr:uid="{00000000-0004-0000-0000-000003000000}"/>
  </hyperlinks>
  <printOptions horizontalCentered="1"/>
  <pageMargins left="0.39370078740157483" right="0.19685039370078741" top="0.39370078740157483" bottom="0" header="0.31496062992125984" footer="0.31496062992125984"/>
  <pageSetup scale="35" orientation="landscape" r:id="rId5"/>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000-000010000000}">
          <x14:formula1>
            <xm:f>Tipologías!$A$38:$A$42</xm:f>
          </x14:formula1>
          <xm:sqref>AI65</xm:sqref>
        </x14:dataValidation>
        <x14:dataValidation type="list" allowBlank="1" showInputMessage="1" showErrorMessage="1" xr:uid="{00000000-0002-0000-0000-000011000000}">
          <x14:formula1>
            <xm:f>Tipologías!$A$56:$A$62</xm:f>
          </x14:formula1>
          <xm:sqref>G65</xm:sqref>
        </x14:dataValidation>
        <x14:dataValidation type="list" allowBlank="1" showInputMessage="1" showErrorMessage="1" xr:uid="{00000000-0002-0000-0000-000012000000}">
          <x14:formula1>
            <xm:f>Tipologías!$A$46:$A$53</xm:f>
          </x14:formula1>
          <xm:sqref>AJ65</xm:sqref>
        </x14:dataValidation>
        <x14:dataValidation type="list" allowBlank="1" showInputMessage="1" showErrorMessage="1" xr:uid="{00000000-0002-0000-0000-000013000000}">
          <x14:formula1>
            <xm:f>Tipologías!$A$29:$A$33</xm:f>
          </x14:formula1>
          <xm:sqref>AG65</xm:sqref>
        </x14:dataValidation>
        <x14:dataValidation type="list" allowBlank="1" showInputMessage="1" showErrorMessage="1" xr:uid="{00000000-0002-0000-0000-000014000000}">
          <x14:formula1>
            <xm:f>Tipologías!$F$51:$F$66</xm:f>
          </x14:formula1>
          <xm:sqref>C65</xm:sqref>
        </x14:dataValidation>
        <x14:dataValidation type="list" allowBlank="1" showInputMessage="1" showErrorMessage="1" xr:uid="{00000000-0002-0000-0000-000015000000}">
          <x14:formula1>
            <xm:f>Tipologías!$B$3:$B$17</xm:f>
          </x14:formula1>
          <xm:sqref>AD65</xm:sqref>
        </x14:dataValidation>
        <x14:dataValidation type="list" allowBlank="1" showInputMessage="1" showErrorMessage="1" xr:uid="{00000000-0002-0000-0000-000016000000}">
          <x14:formula1>
            <xm:f>Tipologías!$A$21:$A$24</xm:f>
          </x14:formula1>
          <xm:sqref>AE65</xm:sqref>
        </x14:dataValidation>
        <x14:dataValidation type="list" allowBlank="1" showInputMessage="1" showErrorMessage="1" xr:uid="{00000000-0002-0000-0000-000017000000}">
          <x14:formula1>
            <xm:f>Tipologías!$D$45:$D$48</xm:f>
          </x14:formula1>
          <xm:sqref>BA65</xm:sqref>
        </x14:dataValidation>
        <x14:dataValidation type="list" allowBlank="1" showInputMessage="1" showErrorMessage="1" xr:uid="{00000000-0002-0000-0000-000018000000}">
          <x14:formula1>
            <xm:f>Tipologías!$G$21:$G$38</xm:f>
          </x14:formula1>
          <xm:sqref>BC65:BC66</xm:sqref>
        </x14:dataValidation>
        <x14:dataValidation type="list" allowBlank="1" showInputMessage="1" showErrorMessage="1" xr:uid="{00000000-0002-0000-0000-000019000000}">
          <x14:formula1>
            <xm:f>Tipologías!$A$80:$A$83</xm:f>
          </x14:formula1>
          <xm:sqref>B65</xm:sqref>
        </x14:dataValidation>
        <x14:dataValidation type="list" allowBlank="1" showInputMessage="1" showErrorMessage="1" xr:uid="{00000000-0002-0000-0000-00001A000000}">
          <x14:formula1>
            <xm:f>Tipologías!$D$51:$D$76</xm:f>
          </x14:formula1>
          <xm:sqref>D65</xm:sqref>
        </x14:dataValidation>
        <x14:dataValidation type="list" allowBlank="1" showErrorMessage="1" xr:uid="{00000000-0002-0000-0000-00001B000000}">
          <x14:formula1>
            <xm:f>'C:\Users\User\Documents\SCRD 2023\Activos de Información 2023\FASE I\[20237000215993  MATRIZ INVENTARIO ACTIVOS DE INFORMACIÓN 2023 VF - OCID.xlsx]Tipologías'!#REF!</xm:f>
          </x14:formula1>
          <xm:sqref>BA10:BA13 BC10:BC13 AD10:AE13 AG10:AG13 AI10:AJ13 B10:D13</xm:sqref>
        </x14:dataValidation>
        <x14:dataValidation type="list" allowBlank="1" showInputMessage="1" showErrorMessage="1" xr:uid="{00000000-0002-0000-0000-00001C000000}">
          <x14:formula1>
            <xm:f>'C:\Users\User\Documents\SCRD 2023\Activos de Información 2023\FASE I\[20232200219693  MATRIZ INVENTARIO ACTIVOS DE INFORMACIÓN 2023 VF - FOMENTO.xlsx]Tipologías'!#REF!</xm:f>
          </x14:formula1>
          <xm:sqref>G14:G21 AI14:AJ21 AG14:AG21 AD14:AE21 BA14:BA21 BC14:BC21 B14:D21</xm:sqref>
        </x14:dataValidation>
        <x14:dataValidation type="list" allowBlank="1" showInputMessage="1" showErrorMessage="1" xr:uid="{00000000-0002-0000-0000-00001D000000}">
          <x14:formula1>
            <xm:f>'C:\Users\User\Documents\SCRD 2023\Activos de Información 2023\FASE I\[20232100222703  MATRIZ INVENTARIO ACTIVOS DE INFORMACIÓN 2023 VF Asuntos Locales Y Participación.xlsx]Tipologías'!#REF!</xm:f>
          </x14:formula1>
          <xm:sqref>G22:G25 AI22:AJ25 AG22:AG25 B22:D25 AD22:AE25 BC22:BC25 BA22:BA25</xm:sqref>
        </x14:dataValidation>
        <x14:dataValidation type="list" allowBlank="1" showInputMessage="1" showErrorMessage="1" xr:uid="{00000000-0002-0000-0000-00001E000000}">
          <x14:formula1>
            <xm:f>'C:\Users\User\Documents\SCRD 2023\Activos de Información 2023\FASE I\[20238000225593 MATRIZ INVENTARIO ACTIVOS DE INFORMACIÓN 2023 VF Dirección De Bibliotecas .xlsx]Tipologías'!#REF!</xm:f>
          </x14:formula1>
          <xm:sqref>G26:G33 AI26:AJ33 AG26:AG33 AD26:AE33 B26:D33 BC26:BC33 BA26:BA33</xm:sqref>
        </x14:dataValidation>
        <x14:dataValidation type="list" allowBlank="1" showInputMessage="1" showErrorMessage="1" xr:uid="{00000000-0002-0000-0000-00001F000000}">
          <x14:formula1>
            <xm:f>'C:\Users\User\Documents\SCRD 2023\Activos de Información 2023\FASE I\[20231200216143  MATRIZ INVENTARIO ACTIVOS DE INFORMACIÓN 2023 VF Comunicaciones.xlsx]Tipologías'!#REF!</xm:f>
          </x14:formula1>
          <xm:sqref>G34:G40 AI34:AJ40 AG34:AG40 B34:D40 AD34:AE40 BA34:BA40 BC34:BC40</xm:sqref>
        </x14:dataValidation>
        <x14:dataValidation type="list" allowBlank="1" showInputMessage="1" showErrorMessage="1" xr:uid="{00000000-0002-0000-0000-000020000000}">
          <x14:formula1>
            <xm:f>'C:\Users\User\Documents\SCRD 2023\Activos de Información 2023\FASE I\[20231400216273 MATRIZ INVENTARIO ACTIVOS DE INFORMACIÓN 2023 VF CONTROL INTERNO.xlsx]Tipologías'!#REF!</xm:f>
          </x14:formula1>
          <xm:sqref>G41:G42 AI41:AJ42 AG41:AG42 B41:D42 AD41:AE42 BA41:BA42 BC41:BC42</xm:sqref>
        </x14:dataValidation>
        <x14:dataValidation type="list" allowBlank="1" showErrorMessage="1" xr:uid="{00000000-0002-0000-0000-000021000000}">
          <x14:formula1>
            <xm:f>'C:\Users\User\Documents\SCRD 2023\Activos de Información 2023\FASE II\[20237200300943 MATRIZ INVENTARIO ACTIVOS DE INFORMACIÓN 2023 VF Financiera.xlsx]Tipologías'!#REF!</xm:f>
          </x14:formula1>
          <xm:sqref>G43:G46 BC43:BC46 AD43:AE46 BA43:BA46 AG43:AG46 B43:D46 AI43:AJ46 AK43:AK45</xm:sqref>
        </x14:dataValidation>
        <x14:dataValidation type="list" allowBlank="1" showInputMessage="1" showErrorMessage="1" xr:uid="{00000000-0002-0000-0000-000022000000}">
          <x14:formula1>
            <xm:f>'C:\Users\User\Documents\SCRD 2023\Activos de Información 2023\FASE II\[120237600261193 MATRIZ INVENTARIO ACTIVOS DE INFORMACIÓN 2023 VF CONTRATACION.xlsx]Tipologías'!#REF!</xm:f>
          </x14:formula1>
          <xm:sqref>G47:G51 AI47:AJ51 AG47:AG51 B47:D51 AD47:AE51 BA47:BA51 BC47:BC51</xm:sqref>
        </x14:dataValidation>
        <x14:dataValidation type="list" allowBlank="1" showErrorMessage="1" xr:uid="{00000000-0002-0000-0000-000023000000}">
          <x14:formula1>
            <xm:f>'C:\Users\User\Documents\SCRD 2023\Activos de Información 2023\FASE II\[20237100262103 MATRIZ INVENTARIO ACTIVOS DE INFORMACIÓN 2023 VF SERV. ADMINISTRATIVOS.xlsx]Tipologías'!#REF!</xm:f>
          </x14:formula1>
          <xm:sqref>B52:D56 BA52:BA56 AG52:AG56 BC52:BC56 AI52:AJ56 G52:G56 AD52:AE56</xm:sqref>
        </x14:dataValidation>
        <x14:dataValidation type="list" allowBlank="1" showInputMessage="1" showErrorMessage="1" xr:uid="{00000000-0002-0000-0000-000024000000}">
          <x14:formula1>
            <xm:f>'C:\Users\User\Documents\SCRD 2023\Activos de Información 2023\FASE III\[20239300304623  MATRIZ INVENTARIO ACTIVOS DE INFORMACIÓN 2023 VF Transformaciones C.xlsx]Tipologías'!#REF!</xm:f>
          </x14:formula1>
          <xm:sqref>G57:G64 AI57:AJ64 AG57:AG64 AD57:AE64 BA57:BA64 BC57:BC64 B57:D64</xm:sqref>
        </x14:dataValidation>
        <x14:dataValidation type="list" allowBlank="1" showInputMessage="1" showErrorMessage="1" xr:uid="{00000000-0002-0000-0000-000025000000}">
          <x14:formula1>
            <xm:f>'C:\Users\User\Documents\SCRD 2023\Activos de Información 2023\FASE III\[20233100303053 MATRIZ INVENTARIO ACTIVOS DE INFORMACIÓN 2023 VF Arte Cultura y P.xlsx]Tipologías'!#REF!</xm:f>
          </x14:formula1>
          <xm:sqref>B66 D66:D67 AD66:AE66 BA66 AI66:AI67 AG66 AJ66 BC67</xm:sqref>
        </x14:dataValidation>
        <x14:dataValidation type="list" allowBlank="1" showInputMessage="1" showErrorMessage="1" xr:uid="{00000000-0002-0000-0000-000026000000}">
          <x14:formula1>
            <xm:f>'C:\Users\User\Documents\SCRD 2023\Activos de Información 2023\FASE III\[20233100303063  MATRIZ INVENTARIO ACTIVOS DE INFORMACIÓN 2023 VF Infraestrctura y PC.xlsx]Tipologías'!#REF!</xm:f>
          </x14:formula1>
          <xm:sqref>I74 I69:I70 I72 G68:H74 AI68:AJ74 AG68:AG74 B68:D74 AD68:AE74 BC68:BC74 BA68:BA74</xm:sqref>
        </x14:dataValidation>
        <x14:dataValidation type="list" allowBlank="1" showInputMessage="1" showErrorMessage="1" xr:uid="{00000000-0002-0000-0000-000027000000}">
          <x14:formula1>
            <xm:f>'C:\Users\User\Documents\SCRD 2023\Activos de Información 2023\FASE III\[20233100311083  MATRIZ INVENTARIO ACTIVOS DE INFORMACIÓN 2023 VF G. Cultural y Artistica.xlsx]Tipologías'!#REF!</xm:f>
          </x14:formula1>
          <xm:sqref>G80:G85 G87:G88 G75:G76 BA75:BA88 M86 B75:D88 AI75:AJ88 AG75:AG88 AD75:AE88 BC75:BC88</xm:sqref>
        </x14:dataValidation>
        <x14:dataValidation type="list" allowBlank="1" showInputMessage="1" showErrorMessage="1" xr:uid="{00000000-0002-0000-0000-000028000000}">
          <x14:formula1>
            <xm:f>'C:\Users\User\Documents\SCRD 2023\Activos de Información 2023\FASE IV\[20231100338343 MATRIZ INVENTARIO ACTIVOS DE INFORMACIÓN 2023 VF Of. Jurídica.xlsx]Tipologías'!#REF!</xm:f>
          </x14:formula1>
          <x14:formula2>
            <xm:f>0</xm:f>
          </x14:formula2>
          <xm:sqref>G89:G93 AI89:AJ93 AG89:AG93 AD89:AE93 BA89:BA93 BC89:BC93 B89:D93</xm:sqref>
        </x14:dataValidation>
        <x14:dataValidation type="list" allowBlank="1" showInputMessage="1" showErrorMessage="1" xr:uid="{00000000-0002-0000-0000-000029000000}">
          <x14:formula1>
            <xm:f>'C:\Users\User\Documents\SCRD 2023\Activos de Información 2023\FASE IV\[20232300338453 MATRIZ INVENTARIO ACTIVOS DE INFORMACIÓN 2023 VF Personas Jurídicas.xlsx]Tipologías'!#REF!</xm:f>
          </x14:formula1>
          <xm:sqref>G94:G97 AI94:AJ97 AG94:AG97 AD94:AE97 BA94:BA97 BC94:BC97 B94:D97</xm:sqref>
        </x14:dataValidation>
        <x14:dataValidation type="list" allowBlank="1" showInputMessage="1" showErrorMessage="1" xr:uid="{00000000-0002-0000-0000-00002A000000}">
          <x14:formula1>
            <xm:f>'C:\Users\User\Documents\SCRD 2023\Activos de Información 2023\FASE I\[Matriz de Activos de Información 2023 SCRD_Despacho.xlsx]Tipologías'!#REF!</xm:f>
          </x14:formula1>
          <xm:sqref>G98:G100 AI98:AJ100 AG98:AG100 B98:D100 AD98:AE100 BA98:BA100 BC98:BC100</xm:sqref>
        </x14:dataValidation>
        <x14:dataValidation type="list" allowBlank="1" showErrorMessage="1" xr:uid="{00000000-0002-0000-0000-00002B000000}">
          <x14:formula1>
            <xm:f>'C:\Users\User\Documents\SCRD 2023\Activos de Información 2023\FASE III\[20239100340673  MATRIZ INVENTARIO ACTIVOS DE INFORMACIÓN 2023 VF Observatorio y Gest. C.xlsx]Tipologías'!#REF!</xm:f>
          </x14:formula1>
          <xm:sqref>G101:G107 BA101:BA107 BC101:BC107 AG101:AG107 AI101:AJ107 AD101:AE107 B101:D107</xm:sqref>
        </x14:dataValidation>
        <x14:dataValidation type="list" allowBlank="1" showErrorMessage="1" xr:uid="{00000000-0002-0000-0000-00002C000000}">
          <x14:formula1>
            <xm:f>'C:\Users\User\Documents\SCRD 2023\Activos de Información 2023\FASE III\[20239000301563 MATRIZ INVENTARIO ACTIVOS DE INFORMACIÓN 2023 VF Cultura Ciudadana C.xlsx]Tipologías'!#REF!</xm:f>
          </x14:formula1>
          <xm:sqref>BA108:BA110 G108:G110 AG108:AG110 BC108:BC110 H108:H109 H110:I110 B108:D110 AI108:AJ110 AD108:AE110</xm:sqref>
        </x14:dataValidation>
        <x14:dataValidation type="list" allowBlank="1" showInputMessage="1" showErrorMessage="1" xr:uid="{00000000-0002-0000-0000-00002D000000}">
          <x14:formula1>
            <xm:f>'C:\Users\User\Documents\SCRD 2023\Activos de Información 2023\FASE IV\[Matriz de Activos de Información 2023 SCRD OTI.xlsx]Tipologías'!#REF!</xm:f>
          </x14:formula1>
          <xm:sqref>G111:G120 AI111:AJ120 AG111:AG120 B111:D120 AD111:AE120 BA111:BA120 BC111:BC120</xm:sqref>
        </x14:dataValidation>
        <x14:dataValidation type="list" allowBlank="1" showInputMessage="1" showErrorMessage="1" xr:uid="{00000000-0002-0000-0000-00002E000000}">
          <x14:formula1>
            <xm:f>'C:\Users\User\Downloads\[20237100515373_00002 (1).xlsx]Tipologías'!#REF!</xm:f>
          </x14:formula1>
          <xm:sqref>G121:G129 AI121:AJ129 AG121:AG129 AD121:AE129 BA121:BA129 BC121:BC129 B121:D129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3"/>
  <sheetViews>
    <sheetView showGridLines="0" zoomScale="80" zoomScaleNormal="80" workbookViewId="0">
      <selection activeCell="F45" sqref="F45"/>
    </sheetView>
  </sheetViews>
  <sheetFormatPr baseColWidth="10" defaultColWidth="9.140625" defaultRowHeight="15" x14ac:dyDescent="0.25"/>
  <cols>
    <col min="1" max="1" width="22.28515625" style="3" customWidth="1"/>
    <col min="2" max="2" width="39.7109375" style="3" customWidth="1"/>
    <col min="3" max="3" width="37.7109375" style="3" customWidth="1"/>
    <col min="4" max="4" width="40.140625" style="3" customWidth="1"/>
    <col min="5" max="5" width="22.28515625" style="3" customWidth="1"/>
    <col min="6" max="6" width="55.28515625" style="3" customWidth="1"/>
    <col min="7" max="7" width="61.42578125" style="3" customWidth="1"/>
    <col min="8" max="1024" width="9.140625" style="3"/>
    <col min="1025" max="16384" width="9.140625" style="42"/>
  </cols>
  <sheetData>
    <row r="1" spans="1:7" ht="24" customHeight="1" x14ac:dyDescent="0.25">
      <c r="A1" s="244" t="s">
        <v>83</v>
      </c>
      <c r="B1" s="244"/>
      <c r="C1" s="244"/>
      <c r="D1" s="244"/>
      <c r="E1" s="1"/>
      <c r="F1" s="2"/>
      <c r="G1" s="2"/>
    </row>
    <row r="2" spans="1:7" ht="99" customHeight="1" x14ac:dyDescent="0.25">
      <c r="A2" s="4" t="s">
        <v>1</v>
      </c>
      <c r="B2" s="4" t="s">
        <v>84</v>
      </c>
      <c r="C2" s="4" t="s">
        <v>85</v>
      </c>
      <c r="D2" s="4" t="s">
        <v>86</v>
      </c>
      <c r="E2" s="4" t="s">
        <v>87</v>
      </c>
      <c r="F2" s="4" t="s">
        <v>88</v>
      </c>
      <c r="G2" s="4" t="s">
        <v>194</v>
      </c>
    </row>
    <row r="3" spans="1:7" ht="293.45" customHeight="1" x14ac:dyDescent="0.25">
      <c r="A3" s="81">
        <v>1</v>
      </c>
      <c r="B3" s="82" t="s">
        <v>89</v>
      </c>
      <c r="C3" s="81" t="s">
        <v>90</v>
      </c>
      <c r="D3" s="83" t="s">
        <v>238</v>
      </c>
      <c r="E3" s="84" t="s">
        <v>91</v>
      </c>
      <c r="F3" s="85" t="s">
        <v>239</v>
      </c>
      <c r="G3" s="86" t="s">
        <v>240</v>
      </c>
    </row>
    <row r="4" spans="1:7" ht="409.5" x14ac:dyDescent="0.25">
      <c r="A4" s="81">
        <v>2</v>
      </c>
      <c r="B4" s="82" t="s">
        <v>206</v>
      </c>
      <c r="C4" s="81" t="s">
        <v>92</v>
      </c>
      <c r="D4" s="82" t="s">
        <v>241</v>
      </c>
      <c r="E4" s="84" t="s">
        <v>93</v>
      </c>
      <c r="F4" s="85" t="s">
        <v>242</v>
      </c>
      <c r="G4" s="86" t="s">
        <v>243</v>
      </c>
    </row>
    <row r="5" spans="1:7" ht="297" x14ac:dyDescent="0.25">
      <c r="A5" s="81">
        <v>3</v>
      </c>
      <c r="B5" s="82" t="s">
        <v>207</v>
      </c>
      <c r="C5" s="81" t="s">
        <v>92</v>
      </c>
      <c r="D5" s="82" t="s">
        <v>244</v>
      </c>
      <c r="E5" s="84" t="s">
        <v>93</v>
      </c>
      <c r="F5" s="86" t="s">
        <v>292</v>
      </c>
      <c r="G5" s="86" t="s">
        <v>245</v>
      </c>
    </row>
    <row r="6" spans="1:7" ht="202.5" x14ac:dyDescent="0.25">
      <c r="A6" s="81">
        <v>4</v>
      </c>
      <c r="B6" s="82" t="s">
        <v>208</v>
      </c>
      <c r="C6" s="81" t="s">
        <v>92</v>
      </c>
      <c r="D6" s="82" t="s">
        <v>246</v>
      </c>
      <c r="E6" s="84" t="s">
        <v>93</v>
      </c>
      <c r="F6" s="86" t="s">
        <v>247</v>
      </c>
      <c r="G6" s="83" t="s">
        <v>248</v>
      </c>
    </row>
    <row r="7" spans="1:7" ht="117.75" customHeight="1" x14ac:dyDescent="0.25">
      <c r="A7" s="81">
        <v>5</v>
      </c>
      <c r="B7" s="82" t="s">
        <v>209</v>
      </c>
      <c r="C7" s="81" t="s">
        <v>92</v>
      </c>
      <c r="D7" s="82" t="s">
        <v>249</v>
      </c>
      <c r="E7" s="84" t="s">
        <v>94</v>
      </c>
      <c r="F7" s="86" t="s">
        <v>250</v>
      </c>
      <c r="G7" s="7" t="s">
        <v>251</v>
      </c>
    </row>
    <row r="8" spans="1:7" ht="27" x14ac:dyDescent="0.25">
      <c r="A8" s="81">
        <v>6</v>
      </c>
      <c r="B8" s="82" t="s">
        <v>210</v>
      </c>
      <c r="C8" s="81" t="s">
        <v>92</v>
      </c>
      <c r="D8" s="82" t="s">
        <v>252</v>
      </c>
      <c r="E8" s="84" t="s">
        <v>94</v>
      </c>
      <c r="F8" s="7" t="str">
        <f>D8</f>
        <v>LEY 1712   DE 2014, ARTÍCULO 19 LITERAL B "LA SEGURIDAD PÚBLICA."</v>
      </c>
      <c r="G8" s="7" t="s">
        <v>253</v>
      </c>
    </row>
    <row r="9" spans="1:7" ht="74.25" customHeight="1" x14ac:dyDescent="0.25">
      <c r="A9" s="81">
        <v>7</v>
      </c>
      <c r="B9" s="82" t="s">
        <v>211</v>
      </c>
      <c r="C9" s="81" t="s">
        <v>92</v>
      </c>
      <c r="D9" s="82" t="s">
        <v>254</v>
      </c>
      <c r="E9" s="84" t="s">
        <v>94</v>
      </c>
      <c r="F9" s="83" t="s">
        <v>255</v>
      </c>
      <c r="G9" s="86" t="s">
        <v>253</v>
      </c>
    </row>
    <row r="10" spans="1:7" ht="110.25" customHeight="1" x14ac:dyDescent="0.25">
      <c r="A10" s="81">
        <v>8</v>
      </c>
      <c r="B10" s="82" t="s">
        <v>212</v>
      </c>
      <c r="C10" s="81" t="s">
        <v>92</v>
      </c>
      <c r="D10" s="82" t="s">
        <v>256</v>
      </c>
      <c r="E10" s="84" t="s">
        <v>94</v>
      </c>
      <c r="F10" s="85" t="s">
        <v>257</v>
      </c>
      <c r="G10" s="7" t="s">
        <v>258</v>
      </c>
    </row>
    <row r="11" spans="1:7" ht="103.7" customHeight="1" x14ac:dyDescent="0.25">
      <c r="A11" s="81">
        <v>9</v>
      </c>
      <c r="B11" s="82" t="s">
        <v>213</v>
      </c>
      <c r="C11" s="81" t="s">
        <v>92</v>
      </c>
      <c r="D11" s="82" t="s">
        <v>259</v>
      </c>
      <c r="E11" s="84" t="s">
        <v>94</v>
      </c>
      <c r="F11" s="85" t="s">
        <v>260</v>
      </c>
      <c r="G11" s="7" t="s">
        <v>261</v>
      </c>
    </row>
    <row r="12" spans="1:7" ht="175.5" x14ac:dyDescent="0.25">
      <c r="A12" s="81">
        <v>10</v>
      </c>
      <c r="B12" s="82" t="s">
        <v>214</v>
      </c>
      <c r="C12" s="81" t="s">
        <v>92</v>
      </c>
      <c r="D12" s="82" t="s">
        <v>262</v>
      </c>
      <c r="E12" s="84" t="s">
        <v>94</v>
      </c>
      <c r="F12" s="85" t="s">
        <v>294</v>
      </c>
      <c r="G12" s="7"/>
    </row>
    <row r="13" spans="1:7" ht="115.5" customHeight="1" x14ac:dyDescent="0.25">
      <c r="A13" s="81">
        <v>11</v>
      </c>
      <c r="B13" s="82" t="s">
        <v>215</v>
      </c>
      <c r="C13" s="81" t="s">
        <v>92</v>
      </c>
      <c r="D13" s="82" t="s">
        <v>263</v>
      </c>
      <c r="E13" s="84" t="s">
        <v>94</v>
      </c>
      <c r="F13" s="7" t="s">
        <v>95</v>
      </c>
      <c r="G13" s="7" t="s">
        <v>264</v>
      </c>
    </row>
    <row r="14" spans="1:7" ht="135" x14ac:dyDescent="0.25">
      <c r="A14" s="81">
        <v>12</v>
      </c>
      <c r="B14" s="82" t="s">
        <v>216</v>
      </c>
      <c r="C14" s="81" t="s">
        <v>92</v>
      </c>
      <c r="D14" s="82" t="s">
        <v>265</v>
      </c>
      <c r="E14" s="84" t="s">
        <v>94</v>
      </c>
      <c r="F14" s="83" t="s">
        <v>290</v>
      </c>
      <c r="G14" s="7" t="s">
        <v>253</v>
      </c>
    </row>
    <row r="15" spans="1:7" ht="27" x14ac:dyDescent="0.25">
      <c r="A15" s="81">
        <v>13</v>
      </c>
      <c r="B15" s="82" t="s">
        <v>217</v>
      </c>
      <c r="C15" s="81" t="s">
        <v>92</v>
      </c>
      <c r="D15" s="82" t="s">
        <v>266</v>
      </c>
      <c r="E15" s="84" t="s">
        <v>94</v>
      </c>
      <c r="F15" s="7" t="str">
        <f>D15</f>
        <v>LEY 1712   DE 2014  ARTÍCULO 19 LITERAL I "LA SALUD PÚBLICA."</v>
      </c>
      <c r="G15" s="7" t="s">
        <v>253</v>
      </c>
    </row>
    <row r="16" spans="1:7" ht="67.5" x14ac:dyDescent="0.25">
      <c r="A16" s="81">
        <v>14</v>
      </c>
      <c r="B16" s="82" t="s">
        <v>218</v>
      </c>
      <c r="C16" s="81" t="s">
        <v>92</v>
      </c>
      <c r="D16" s="87" t="s">
        <v>267</v>
      </c>
      <c r="E16" s="84" t="s">
        <v>94</v>
      </c>
      <c r="F16" s="7" t="s">
        <v>268</v>
      </c>
      <c r="G16" s="7" t="s">
        <v>253</v>
      </c>
    </row>
    <row r="17" spans="1:7" ht="40.5" x14ac:dyDescent="0.25">
      <c r="A17" s="81">
        <v>15</v>
      </c>
      <c r="B17" s="82" t="s">
        <v>219</v>
      </c>
      <c r="C17" s="81" t="s">
        <v>92</v>
      </c>
      <c r="D17" s="88"/>
      <c r="E17" s="84"/>
      <c r="F17" s="84"/>
      <c r="G17" s="7"/>
    </row>
    <row r="18" spans="1:7" ht="24.75" customHeight="1" x14ac:dyDescent="0.25">
      <c r="A18" s="2"/>
      <c r="B18" s="2"/>
      <c r="C18" s="2"/>
      <c r="D18" s="2"/>
      <c r="E18" s="2"/>
      <c r="F18" s="2"/>
      <c r="G18" s="2"/>
    </row>
    <row r="19" spans="1:7" x14ac:dyDescent="0.25">
      <c r="A19" s="2"/>
      <c r="B19" s="2"/>
      <c r="C19" s="2"/>
      <c r="D19" s="2"/>
      <c r="E19" s="2"/>
      <c r="F19" s="2"/>
      <c r="G19" s="2"/>
    </row>
    <row r="20" spans="1:7" ht="24.75" customHeight="1" x14ac:dyDescent="0.25">
      <c r="A20" s="245" t="s">
        <v>129</v>
      </c>
      <c r="B20" s="245"/>
      <c r="C20" s="245"/>
      <c r="G20" s="51" t="s">
        <v>200</v>
      </c>
    </row>
    <row r="21" spans="1:7" ht="24.75" customHeight="1" x14ac:dyDescent="0.25">
      <c r="A21" s="6" t="s">
        <v>130</v>
      </c>
      <c r="B21" s="6" t="s">
        <v>131</v>
      </c>
      <c r="C21" s="6" t="s">
        <v>90</v>
      </c>
      <c r="G21" s="53" t="s">
        <v>195</v>
      </c>
    </row>
    <row r="22" spans="1:7" ht="37.5" customHeight="1" x14ac:dyDescent="0.25">
      <c r="A22" s="6" t="s">
        <v>132</v>
      </c>
      <c r="B22" s="6" t="s">
        <v>133</v>
      </c>
      <c r="C22" s="6" t="s">
        <v>103</v>
      </c>
      <c r="G22" s="53" t="s">
        <v>220</v>
      </c>
    </row>
    <row r="23" spans="1:7" ht="24.75" customHeight="1" x14ac:dyDescent="0.25">
      <c r="A23" s="6" t="s">
        <v>134</v>
      </c>
      <c r="B23" s="6" t="s">
        <v>135</v>
      </c>
      <c r="C23" s="6" t="s">
        <v>92</v>
      </c>
      <c r="G23" s="53" t="s">
        <v>221</v>
      </c>
    </row>
    <row r="24" spans="1:7" ht="24.75" customHeight="1" x14ac:dyDescent="0.25">
      <c r="A24" s="6" t="s">
        <v>136</v>
      </c>
      <c r="B24" s="6" t="s">
        <v>137</v>
      </c>
      <c r="C24" s="6" t="s">
        <v>92</v>
      </c>
      <c r="G24" s="53" t="s">
        <v>222</v>
      </c>
    </row>
    <row r="25" spans="1:7" ht="24.75" customHeight="1" x14ac:dyDescent="0.25">
      <c r="A25" s="2"/>
      <c r="B25" s="2"/>
      <c r="C25" s="2"/>
      <c r="D25" s="2"/>
      <c r="G25" s="53" t="s">
        <v>223</v>
      </c>
    </row>
    <row r="26" spans="1:7" ht="24.75" customHeight="1" x14ac:dyDescent="0.25">
      <c r="A26" s="246" t="s">
        <v>96</v>
      </c>
      <c r="B26" s="246"/>
      <c r="C26" s="2"/>
      <c r="D26" s="2"/>
      <c r="G26" s="53" t="s">
        <v>224</v>
      </c>
    </row>
    <row r="27" spans="1:7" ht="24.75" customHeight="1" x14ac:dyDescent="0.25">
      <c r="A27" s="9" t="s">
        <v>97</v>
      </c>
      <c r="B27" s="9" t="s">
        <v>85</v>
      </c>
      <c r="C27" s="9" t="s">
        <v>98</v>
      </c>
      <c r="G27" s="53" t="s">
        <v>225</v>
      </c>
    </row>
    <row r="28" spans="1:7" ht="24.75" customHeight="1" x14ac:dyDescent="0.25">
      <c r="A28" s="247" t="s">
        <v>99</v>
      </c>
      <c r="B28" s="247"/>
      <c r="C28" s="247"/>
      <c r="E28" s="2"/>
      <c r="G28" s="53" t="s">
        <v>226</v>
      </c>
    </row>
    <row r="29" spans="1:7" ht="24.75" customHeight="1" x14ac:dyDescent="0.25">
      <c r="A29" s="10" t="s">
        <v>100</v>
      </c>
      <c r="B29" s="11">
        <v>1</v>
      </c>
      <c r="C29" s="11" t="s">
        <v>90</v>
      </c>
      <c r="E29" s="2"/>
      <c r="G29" s="53" t="s">
        <v>227</v>
      </c>
    </row>
    <row r="30" spans="1:7" ht="24.75" customHeight="1" x14ac:dyDescent="0.25">
      <c r="A30" s="10" t="s">
        <v>101</v>
      </c>
      <c r="B30" s="11">
        <v>2</v>
      </c>
      <c r="C30" s="11" t="s">
        <v>90</v>
      </c>
      <c r="E30" s="2"/>
      <c r="G30" s="53" t="s">
        <v>228</v>
      </c>
    </row>
    <row r="31" spans="1:7" ht="24.75" customHeight="1" x14ac:dyDescent="0.25">
      <c r="A31" s="10" t="s">
        <v>102</v>
      </c>
      <c r="B31" s="11">
        <v>3</v>
      </c>
      <c r="C31" s="11" t="s">
        <v>103</v>
      </c>
      <c r="E31" s="2"/>
      <c r="G31" s="53" t="s">
        <v>229</v>
      </c>
    </row>
    <row r="32" spans="1:7" x14ac:dyDescent="0.25">
      <c r="A32" s="10" t="s">
        <v>104</v>
      </c>
      <c r="B32" s="11">
        <v>4</v>
      </c>
      <c r="C32" s="11" t="s">
        <v>92</v>
      </c>
      <c r="E32" s="2"/>
      <c r="G32" s="53" t="s">
        <v>230</v>
      </c>
    </row>
    <row r="33" spans="1:7" x14ac:dyDescent="0.25">
      <c r="A33" s="10" t="s">
        <v>105</v>
      </c>
      <c r="B33" s="11">
        <v>5</v>
      </c>
      <c r="C33" s="11" t="s">
        <v>92</v>
      </c>
      <c r="E33" s="2"/>
      <c r="G33" s="53" t="s">
        <v>231</v>
      </c>
    </row>
    <row r="34" spans="1:7" x14ac:dyDescent="0.25">
      <c r="A34" s="2"/>
      <c r="E34" s="2"/>
      <c r="G34" s="53" t="s">
        <v>232</v>
      </c>
    </row>
    <row r="35" spans="1:7" x14ac:dyDescent="0.25">
      <c r="A35" s="246" t="s">
        <v>106</v>
      </c>
      <c r="B35" s="246"/>
      <c r="C35" s="2"/>
      <c r="D35" s="2"/>
      <c r="E35" s="2"/>
      <c r="G35" s="53" t="s">
        <v>233</v>
      </c>
    </row>
    <row r="36" spans="1:7" x14ac:dyDescent="0.25">
      <c r="A36" s="9" t="s">
        <v>97</v>
      </c>
      <c r="B36" s="9" t="s">
        <v>85</v>
      </c>
      <c r="C36" s="2"/>
      <c r="D36" s="246" t="s">
        <v>106</v>
      </c>
      <c r="E36" s="246"/>
      <c r="G36" s="53" t="s">
        <v>234</v>
      </c>
    </row>
    <row r="37" spans="1:7" x14ac:dyDescent="0.25">
      <c r="A37" s="248" t="s">
        <v>107</v>
      </c>
      <c r="B37" s="248"/>
      <c r="D37" s="11" t="s">
        <v>90</v>
      </c>
      <c r="E37" s="11" t="s">
        <v>108</v>
      </c>
      <c r="G37" s="53" t="s">
        <v>235</v>
      </c>
    </row>
    <row r="38" spans="1:7" ht="27" x14ac:dyDescent="0.25">
      <c r="A38" s="12" t="s">
        <v>109</v>
      </c>
      <c r="B38" s="11">
        <v>0</v>
      </c>
      <c r="D38" s="11" t="s">
        <v>103</v>
      </c>
      <c r="E38" s="11" t="s">
        <v>110</v>
      </c>
      <c r="G38" s="53" t="s">
        <v>201</v>
      </c>
    </row>
    <row r="39" spans="1:7" ht="27" x14ac:dyDescent="0.25">
      <c r="A39" s="12" t="s">
        <v>111</v>
      </c>
      <c r="B39" s="11">
        <v>0.5</v>
      </c>
      <c r="D39" s="11" t="s">
        <v>92</v>
      </c>
      <c r="E39" s="11" t="s">
        <v>112</v>
      </c>
      <c r="G39" s="2"/>
    </row>
    <row r="40" spans="1:7" ht="27" x14ac:dyDescent="0.25">
      <c r="A40" s="12" t="s">
        <v>113</v>
      </c>
      <c r="B40" s="11">
        <v>1</v>
      </c>
      <c r="D40" s="2"/>
      <c r="F40" s="3" t="str">
        <f>UPPER(E40)</f>
        <v/>
      </c>
      <c r="G40" s="2"/>
    </row>
    <row r="41" spans="1:7" ht="27" x14ac:dyDescent="0.25">
      <c r="A41" s="12" t="s">
        <v>114</v>
      </c>
      <c r="B41" s="11">
        <v>1.5</v>
      </c>
      <c r="D41" s="2"/>
      <c r="F41" s="3" t="str">
        <f>UPPER(E41)</f>
        <v/>
      </c>
      <c r="G41" s="2"/>
    </row>
    <row r="42" spans="1:7" ht="40.5" x14ac:dyDescent="0.25">
      <c r="A42" s="12" t="s">
        <v>115</v>
      </c>
      <c r="B42" s="11">
        <v>2</v>
      </c>
      <c r="D42" s="2"/>
      <c r="G42" s="2"/>
    </row>
    <row r="43" spans="1:7" x14ac:dyDescent="0.25">
      <c r="A43" s="2"/>
      <c r="D43" s="2"/>
      <c r="E43" s="2"/>
      <c r="F43" s="2"/>
      <c r="G43" s="2"/>
    </row>
    <row r="44" spans="1:7" x14ac:dyDescent="0.25">
      <c r="A44" s="13" t="s">
        <v>97</v>
      </c>
      <c r="B44" s="13" t="s">
        <v>85</v>
      </c>
      <c r="D44" s="51" t="s">
        <v>26</v>
      </c>
      <c r="E44" s="2"/>
      <c r="F44" s="2"/>
      <c r="G44" s="2"/>
    </row>
    <row r="45" spans="1:7" ht="13.7" customHeight="1" x14ac:dyDescent="0.25">
      <c r="A45" s="247" t="s">
        <v>116</v>
      </c>
      <c r="B45" s="247"/>
      <c r="D45" s="52" t="s">
        <v>196</v>
      </c>
      <c r="E45" s="2"/>
      <c r="F45" s="2"/>
      <c r="G45" s="2"/>
    </row>
    <row r="46" spans="1:7" x14ac:dyDescent="0.25">
      <c r="A46" s="8" t="s">
        <v>117</v>
      </c>
      <c r="B46" s="5">
        <v>2.5</v>
      </c>
      <c r="D46" s="52" t="s">
        <v>197</v>
      </c>
      <c r="E46" s="2"/>
      <c r="F46" s="2"/>
      <c r="G46" s="2"/>
    </row>
    <row r="47" spans="1:7" x14ac:dyDescent="0.25">
      <c r="A47" s="8" t="s">
        <v>118</v>
      </c>
      <c r="B47" s="5">
        <v>2.25</v>
      </c>
      <c r="D47" s="52" t="s">
        <v>198</v>
      </c>
      <c r="E47" s="2"/>
      <c r="F47" s="2"/>
      <c r="G47" s="2"/>
    </row>
    <row r="48" spans="1:7" x14ac:dyDescent="0.25">
      <c r="A48" s="8" t="s">
        <v>119</v>
      </c>
      <c r="B48" s="5">
        <v>2</v>
      </c>
      <c r="C48" s="3" t="s">
        <v>288</v>
      </c>
      <c r="D48" s="52" t="s">
        <v>195</v>
      </c>
      <c r="E48" s="2"/>
      <c r="F48" s="2"/>
      <c r="G48" s="2"/>
    </row>
    <row r="49" spans="1:7" x14ac:dyDescent="0.25">
      <c r="A49" s="8" t="s">
        <v>120</v>
      </c>
      <c r="B49" s="5">
        <v>1.5</v>
      </c>
      <c r="C49" s="3" t="s">
        <v>289</v>
      </c>
      <c r="D49" s="2"/>
      <c r="E49" s="2"/>
      <c r="F49" s="2"/>
      <c r="G49" s="2"/>
    </row>
    <row r="50" spans="1:7" ht="15.75" thickBot="1" x14ac:dyDescent="0.3">
      <c r="A50" s="8" t="s">
        <v>121</v>
      </c>
      <c r="B50" s="5">
        <v>1.25</v>
      </c>
      <c r="C50" s="3" t="s">
        <v>291</v>
      </c>
      <c r="D50" s="51" t="s">
        <v>203</v>
      </c>
      <c r="E50" s="2"/>
      <c r="F50" s="51" t="s">
        <v>52</v>
      </c>
      <c r="G50" s="2"/>
    </row>
    <row r="51" spans="1:7" x14ac:dyDescent="0.25">
      <c r="A51" s="8" t="s">
        <v>122</v>
      </c>
      <c r="B51" s="5">
        <v>1</v>
      </c>
      <c r="C51" s="3" t="s">
        <v>293</v>
      </c>
      <c r="D51" s="89" t="s">
        <v>276</v>
      </c>
      <c r="E51" s="2"/>
      <c r="F51" s="92" t="s">
        <v>296</v>
      </c>
      <c r="G51" s="2"/>
    </row>
    <row r="52" spans="1:7" x14ac:dyDescent="0.25">
      <c r="A52" s="8" t="s">
        <v>123</v>
      </c>
      <c r="B52" s="5">
        <v>0.5</v>
      </c>
      <c r="C52" s="3" t="s">
        <v>295</v>
      </c>
      <c r="D52" s="90" t="s">
        <v>281</v>
      </c>
      <c r="E52" s="2"/>
      <c r="F52" s="95" t="s">
        <v>310</v>
      </c>
      <c r="G52" s="2"/>
    </row>
    <row r="53" spans="1:7" x14ac:dyDescent="0.25">
      <c r="A53" s="8" t="s">
        <v>124</v>
      </c>
      <c r="B53" s="5">
        <v>0.25</v>
      </c>
      <c r="D53" s="90" t="s">
        <v>272</v>
      </c>
      <c r="E53" s="2"/>
      <c r="F53" s="96" t="s">
        <v>311</v>
      </c>
      <c r="G53" s="2"/>
    </row>
    <row r="54" spans="1:7" ht="30" x14ac:dyDescent="0.25">
      <c r="A54" s="2"/>
      <c r="D54" s="90" t="s">
        <v>271</v>
      </c>
      <c r="E54" s="2"/>
      <c r="F54" s="98" t="s">
        <v>312</v>
      </c>
      <c r="G54" s="2"/>
    </row>
    <row r="55" spans="1:7" ht="30" x14ac:dyDescent="0.25">
      <c r="A55" s="51" t="s">
        <v>32</v>
      </c>
      <c r="B55" s="51" t="s">
        <v>138</v>
      </c>
      <c r="D55" s="90" t="s">
        <v>277</v>
      </c>
      <c r="E55" s="2"/>
      <c r="F55" s="95" t="s">
        <v>304</v>
      </c>
      <c r="G55" s="2"/>
    </row>
    <row r="56" spans="1:7" ht="67.5" x14ac:dyDescent="0.25">
      <c r="A56" s="5" t="s">
        <v>205</v>
      </c>
      <c r="B56" s="8" t="s">
        <v>175</v>
      </c>
      <c r="D56" s="90" t="s">
        <v>282</v>
      </c>
      <c r="E56" s="2"/>
      <c r="F56" s="95" t="s">
        <v>306</v>
      </c>
    </row>
    <row r="57" spans="1:7" ht="81" x14ac:dyDescent="0.25">
      <c r="A57" s="5" t="s">
        <v>139</v>
      </c>
      <c r="B57" s="8" t="s">
        <v>176</v>
      </c>
      <c r="D57" s="90" t="s">
        <v>270</v>
      </c>
      <c r="E57" s="2"/>
      <c r="F57" s="94" t="s">
        <v>299</v>
      </c>
    </row>
    <row r="58" spans="1:7" ht="67.5" x14ac:dyDescent="0.25">
      <c r="A58" s="5" t="s">
        <v>140</v>
      </c>
      <c r="B58" s="8" t="s">
        <v>177</v>
      </c>
      <c r="D58" s="90" t="s">
        <v>269</v>
      </c>
      <c r="E58" s="2"/>
      <c r="F58" s="94" t="s">
        <v>303</v>
      </c>
    </row>
    <row r="59" spans="1:7" ht="81" x14ac:dyDescent="0.25">
      <c r="A59" s="5" t="s">
        <v>141</v>
      </c>
      <c r="B59" s="8" t="s">
        <v>178</v>
      </c>
      <c r="D59" s="90" t="s">
        <v>273</v>
      </c>
      <c r="E59" s="2"/>
      <c r="F59" s="97" t="s">
        <v>313</v>
      </c>
    </row>
    <row r="60" spans="1:7" ht="100.15" customHeight="1" x14ac:dyDescent="0.25">
      <c r="A60" s="5" t="s">
        <v>173</v>
      </c>
      <c r="B60" s="8" t="s">
        <v>179</v>
      </c>
      <c r="D60" s="90" t="s">
        <v>283</v>
      </c>
      <c r="E60" s="2"/>
      <c r="F60" s="94" t="s">
        <v>301</v>
      </c>
    </row>
    <row r="61" spans="1:7" ht="148.5" x14ac:dyDescent="0.25">
      <c r="A61" s="5" t="s">
        <v>174</v>
      </c>
      <c r="B61" s="8" t="s">
        <v>180</v>
      </c>
      <c r="D61" s="90" t="s">
        <v>280</v>
      </c>
      <c r="E61" s="2"/>
      <c r="F61" s="93" t="s">
        <v>298</v>
      </c>
    </row>
    <row r="62" spans="1:7" ht="30" x14ac:dyDescent="0.25">
      <c r="A62" s="5" t="s">
        <v>199</v>
      </c>
      <c r="B62" s="8"/>
      <c r="D62" s="90" t="s">
        <v>279</v>
      </c>
      <c r="E62" s="2"/>
      <c r="F62" s="95" t="s">
        <v>305</v>
      </c>
    </row>
    <row r="63" spans="1:7" ht="30" x14ac:dyDescent="0.25">
      <c r="D63" s="90" t="s">
        <v>274</v>
      </c>
      <c r="E63" s="2"/>
      <c r="F63" s="94" t="s">
        <v>302</v>
      </c>
    </row>
    <row r="64" spans="1:7" ht="27" x14ac:dyDescent="0.25">
      <c r="A64" s="4" t="s">
        <v>142</v>
      </c>
      <c r="D64" s="90" t="s">
        <v>162</v>
      </c>
      <c r="E64" s="2"/>
      <c r="F64" s="95" t="s">
        <v>309</v>
      </c>
    </row>
    <row r="65" spans="1:6" ht="30" x14ac:dyDescent="0.25">
      <c r="A65" s="14" t="s">
        <v>143</v>
      </c>
      <c r="D65" s="90" t="s">
        <v>68</v>
      </c>
      <c r="E65" s="2"/>
      <c r="F65" s="95" t="s">
        <v>307</v>
      </c>
    </row>
    <row r="66" spans="1:6" x14ac:dyDescent="0.25">
      <c r="A66" s="14" t="s">
        <v>144</v>
      </c>
      <c r="D66" s="90" t="s">
        <v>70</v>
      </c>
      <c r="E66" s="2"/>
      <c r="F66" s="93" t="s">
        <v>297</v>
      </c>
    </row>
    <row r="67" spans="1:6" x14ac:dyDescent="0.25">
      <c r="A67" s="14" t="s">
        <v>145</v>
      </c>
      <c r="D67" s="90" t="s">
        <v>61</v>
      </c>
      <c r="E67" s="2"/>
      <c r="F67" s="98" t="s">
        <v>314</v>
      </c>
    </row>
    <row r="68" spans="1:6" ht="30" x14ac:dyDescent="0.25">
      <c r="A68" s="14" t="s">
        <v>146</v>
      </c>
      <c r="D68" s="90" t="s">
        <v>64</v>
      </c>
      <c r="E68" s="2"/>
      <c r="F68" s="94" t="s">
        <v>300</v>
      </c>
    </row>
    <row r="69" spans="1:6" ht="30" x14ac:dyDescent="0.25">
      <c r="A69" s="14" t="s">
        <v>147</v>
      </c>
      <c r="D69" s="90" t="s">
        <v>284</v>
      </c>
      <c r="E69" s="2"/>
      <c r="F69" s="97" t="s">
        <v>162</v>
      </c>
    </row>
    <row r="70" spans="1:6" ht="15.75" thickBot="1" x14ac:dyDescent="0.3">
      <c r="A70" s="14" t="s">
        <v>148</v>
      </c>
      <c r="D70" s="90" t="s">
        <v>285</v>
      </c>
      <c r="E70" s="2"/>
      <c r="F70" s="99" t="s">
        <v>308</v>
      </c>
    </row>
    <row r="71" spans="1:6" x14ac:dyDescent="0.25">
      <c r="A71" s="14" t="s">
        <v>204</v>
      </c>
      <c r="D71" s="90" t="s">
        <v>278</v>
      </c>
      <c r="E71" s="2"/>
    </row>
    <row r="72" spans="1:6" ht="30" x14ac:dyDescent="0.25">
      <c r="A72" s="14" t="s">
        <v>149</v>
      </c>
      <c r="D72" s="90" t="s">
        <v>78</v>
      </c>
      <c r="E72" s="2"/>
    </row>
    <row r="73" spans="1:6" ht="30" x14ac:dyDescent="0.25">
      <c r="A73" s="14" t="s">
        <v>150</v>
      </c>
      <c r="D73" s="90" t="s">
        <v>237</v>
      </c>
      <c r="E73" s="2"/>
    </row>
    <row r="74" spans="1:6" x14ac:dyDescent="0.25">
      <c r="A74" s="14" t="s">
        <v>151</v>
      </c>
      <c r="D74" s="90" t="s">
        <v>286</v>
      </c>
    </row>
    <row r="75" spans="1:6" ht="14.25" customHeight="1" x14ac:dyDescent="0.25">
      <c r="D75" s="90" t="s">
        <v>287</v>
      </c>
    </row>
    <row r="76" spans="1:6" ht="15.75" thickBot="1" x14ac:dyDescent="0.3">
      <c r="D76" s="91" t="s">
        <v>275</v>
      </c>
    </row>
    <row r="77" spans="1:6" ht="15.75" thickBot="1" x14ac:dyDescent="0.3"/>
    <row r="78" spans="1:6" ht="15.75" thickBot="1" x14ac:dyDescent="0.3">
      <c r="A78" s="249" t="s">
        <v>49</v>
      </c>
      <c r="B78" s="249"/>
      <c r="C78" s="250" t="s">
        <v>50</v>
      </c>
      <c r="D78" s="250"/>
    </row>
    <row r="79" spans="1:6" ht="33.75" customHeight="1" thickBot="1" x14ac:dyDescent="0.3">
      <c r="A79" s="15" t="s">
        <v>51</v>
      </c>
      <c r="B79" s="54" t="s">
        <v>52</v>
      </c>
      <c r="C79" s="16" t="s">
        <v>53</v>
      </c>
      <c r="D79" s="17" t="s">
        <v>54</v>
      </c>
    </row>
    <row r="80" spans="1:6" ht="15.75" thickBot="1" x14ac:dyDescent="0.3">
      <c r="A80" s="18" t="s">
        <v>55</v>
      </c>
      <c r="B80" s="55" t="s">
        <v>56</v>
      </c>
      <c r="C80" s="19" t="s">
        <v>57</v>
      </c>
      <c r="D80" s="20" t="s">
        <v>58</v>
      </c>
    </row>
    <row r="81" spans="1:4" x14ac:dyDescent="0.25">
      <c r="A81" s="21" t="s">
        <v>59</v>
      </c>
      <c r="B81" s="56" t="s">
        <v>168</v>
      </c>
      <c r="C81" s="22" t="s">
        <v>60</v>
      </c>
      <c r="D81" s="23" t="s">
        <v>61</v>
      </c>
    </row>
    <row r="82" spans="1:4" ht="27" x14ac:dyDescent="0.25">
      <c r="A82" s="24" t="s">
        <v>62</v>
      </c>
      <c r="B82" s="56" t="s">
        <v>169</v>
      </c>
      <c r="C82" s="25" t="s">
        <v>171</v>
      </c>
      <c r="D82" s="43" t="s">
        <v>64</v>
      </c>
    </row>
    <row r="83" spans="1:4" ht="33.75" customHeight="1" thickBot="1" x14ac:dyDescent="0.3">
      <c r="A83" s="27" t="s">
        <v>65</v>
      </c>
      <c r="B83" s="57" t="s">
        <v>163</v>
      </c>
      <c r="C83" s="28" t="s">
        <v>152</v>
      </c>
      <c r="D83" s="43" t="s">
        <v>67</v>
      </c>
    </row>
    <row r="84" spans="1:4" ht="29.25" customHeight="1" x14ac:dyDescent="0.25">
      <c r="B84" s="58" t="s">
        <v>164</v>
      </c>
      <c r="C84" s="29" t="s">
        <v>153</v>
      </c>
      <c r="D84" s="26" t="s">
        <v>68</v>
      </c>
    </row>
    <row r="85" spans="1:4" ht="27" x14ac:dyDescent="0.25">
      <c r="A85" s="44"/>
      <c r="B85" s="58" t="s">
        <v>167</v>
      </c>
      <c r="C85" s="30" t="s">
        <v>154</v>
      </c>
      <c r="D85" s="26" t="s">
        <v>70</v>
      </c>
    </row>
    <row r="86" spans="1:4" ht="15.75" thickBot="1" x14ac:dyDescent="0.3">
      <c r="A86" s="44"/>
      <c r="B86" s="57" t="s">
        <v>165</v>
      </c>
      <c r="C86" s="32" t="s">
        <v>172</v>
      </c>
      <c r="D86" s="26" t="s">
        <v>71</v>
      </c>
    </row>
    <row r="87" spans="1:4" x14ac:dyDescent="0.25">
      <c r="A87" s="44"/>
      <c r="B87" s="57" t="s">
        <v>166</v>
      </c>
      <c r="C87" s="33"/>
      <c r="D87" s="31" t="s">
        <v>60</v>
      </c>
    </row>
    <row r="88" spans="1:4" x14ac:dyDescent="0.25">
      <c r="A88" s="44"/>
      <c r="B88" s="59" t="s">
        <v>157</v>
      </c>
      <c r="C88" s="2"/>
      <c r="D88" s="31" t="s">
        <v>72</v>
      </c>
    </row>
    <row r="89" spans="1:4" ht="26.45" customHeight="1" x14ac:dyDescent="0.25">
      <c r="A89" s="44"/>
      <c r="B89" s="59" t="s">
        <v>74</v>
      </c>
      <c r="C89" s="33"/>
      <c r="D89" s="31" t="s">
        <v>73</v>
      </c>
    </row>
    <row r="90" spans="1:4" x14ac:dyDescent="0.25">
      <c r="A90" s="44"/>
      <c r="B90" s="59" t="s">
        <v>158</v>
      </c>
      <c r="C90" s="33"/>
      <c r="D90" s="34" t="s">
        <v>75</v>
      </c>
    </row>
    <row r="91" spans="1:4" ht="15.75" thickBot="1" x14ac:dyDescent="0.3">
      <c r="A91" s="44"/>
      <c r="B91" s="59" t="s">
        <v>159</v>
      </c>
      <c r="C91" s="33"/>
      <c r="D91" s="35" t="s">
        <v>76</v>
      </c>
    </row>
    <row r="92" spans="1:4" ht="27.75" thickBot="1" x14ac:dyDescent="0.3">
      <c r="A92" s="44"/>
      <c r="B92" s="59" t="s">
        <v>160</v>
      </c>
      <c r="C92" s="33"/>
      <c r="D92" s="36" t="s">
        <v>63</v>
      </c>
    </row>
    <row r="93" spans="1:4" ht="27" x14ac:dyDescent="0.25">
      <c r="A93" s="44"/>
      <c r="B93" s="59" t="s">
        <v>161</v>
      </c>
      <c r="C93" s="33"/>
      <c r="D93" s="36" t="s">
        <v>77</v>
      </c>
    </row>
    <row r="94" spans="1:4" x14ac:dyDescent="0.25">
      <c r="A94" s="38"/>
      <c r="B94" s="59" t="s">
        <v>162</v>
      </c>
      <c r="C94" s="2"/>
      <c r="D94" s="37" t="s">
        <v>66</v>
      </c>
    </row>
    <row r="95" spans="1:4" ht="15.75" thickBot="1" x14ac:dyDescent="0.3">
      <c r="A95" s="38"/>
      <c r="B95" s="60" t="s">
        <v>156</v>
      </c>
      <c r="C95" s="33"/>
      <c r="D95" s="37" t="s">
        <v>78</v>
      </c>
    </row>
    <row r="96" spans="1:4" ht="27" x14ac:dyDescent="0.25">
      <c r="B96" s="2"/>
      <c r="C96" s="33"/>
      <c r="D96" s="37" t="s">
        <v>79</v>
      </c>
    </row>
    <row r="97" spans="2:4" x14ac:dyDescent="0.25">
      <c r="B97" s="2"/>
      <c r="C97" s="33"/>
      <c r="D97" s="39" t="s">
        <v>155</v>
      </c>
    </row>
    <row r="98" spans="2:4" x14ac:dyDescent="0.25">
      <c r="B98" s="2"/>
      <c r="C98" s="33"/>
      <c r="D98" s="40" t="s">
        <v>69</v>
      </c>
    </row>
    <row r="99" spans="2:4" ht="27" x14ac:dyDescent="0.25">
      <c r="B99" s="2"/>
      <c r="C99" s="33"/>
      <c r="D99" s="40" t="s">
        <v>80</v>
      </c>
    </row>
    <row r="100" spans="2:4" ht="27" x14ac:dyDescent="0.25">
      <c r="B100" s="2"/>
      <c r="C100" s="2"/>
      <c r="D100" s="40" t="s">
        <v>81</v>
      </c>
    </row>
    <row r="101" spans="2:4" ht="27" x14ac:dyDescent="0.25">
      <c r="D101" s="40" t="s">
        <v>202</v>
      </c>
    </row>
    <row r="102" spans="2:4" ht="27" x14ac:dyDescent="0.25">
      <c r="D102" s="40" t="s">
        <v>82</v>
      </c>
    </row>
    <row r="103" spans="2:4" ht="27" x14ac:dyDescent="0.25">
      <c r="D103" s="41" t="s">
        <v>170</v>
      </c>
    </row>
  </sheetData>
  <sortState xmlns:xlrd2="http://schemas.microsoft.com/office/spreadsheetml/2017/richdata2" ref="F52:F70">
    <sortCondition ref="F52:F70"/>
  </sortState>
  <mergeCells count="10">
    <mergeCell ref="D36:E36"/>
    <mergeCell ref="A37:B37"/>
    <mergeCell ref="A45:B45"/>
    <mergeCell ref="A78:B78"/>
    <mergeCell ref="C78:D78"/>
    <mergeCell ref="A1:D1"/>
    <mergeCell ref="A20:C20"/>
    <mergeCell ref="A26:B26"/>
    <mergeCell ref="A28:C28"/>
    <mergeCell ref="A35:B35"/>
  </mergeCells>
  <conditionalFormatting sqref="B80:B95">
    <cfRule type="duplicateValues" dxfId="0" priority="2"/>
  </conditionalFormatting>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13</vt:i4>
      </vt:variant>
    </vt:vector>
  </HeadingPairs>
  <TitlesOfParts>
    <vt:vector size="15" baseType="lpstr">
      <vt:lpstr>Matriz</vt:lpstr>
      <vt:lpstr>Tipologías</vt:lpstr>
      <vt:lpstr>APOYO</vt:lpstr>
      <vt:lpstr>Matriz!Área_de_impresión</vt:lpstr>
      <vt:lpstr>DESPACHO_SECRETARIA</vt:lpstr>
      <vt:lpstr>DIRECCION_DE_ARTE_CULTURA_Y_PATRIMONIO</vt:lpstr>
      <vt:lpstr>DIRECCION_DE_GESTION_CORPORATIVA</vt:lpstr>
      <vt:lpstr>DIRECCION_DE_LECTURAS_Y_BIBLIOTECAS</vt:lpstr>
      <vt:lpstr>ESTRATEGICOS</vt:lpstr>
      <vt:lpstr>EVALUACION</vt:lpstr>
      <vt:lpstr>Frecuencia</vt:lpstr>
      <vt:lpstr>MISIONALES</vt:lpstr>
      <vt:lpstr>OFICINA_DE_TECNOLOGIAS_DE_LA_INFORMACIÓN</vt:lpstr>
      <vt:lpstr>SUBSECRETARÍA_DE_GOBERNANZA</vt:lpstr>
      <vt:lpstr>SUBSECRETARÍA_DISTRITAL_DE_CULTURA_CIUDADANA_Y_GESTION_DEL_CONOCIMIENTO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yulieth pinto</dc:creator>
  <cp:keywords/>
  <dc:description/>
  <cp:lastModifiedBy>Lucila Guerrero Ramirez</cp:lastModifiedBy>
  <cp:revision/>
  <dcterms:created xsi:type="dcterms:W3CDTF">2018-02-02T16:18:46Z</dcterms:created>
  <dcterms:modified xsi:type="dcterms:W3CDTF">2024-01-26T20:54:05Z</dcterms:modified>
  <cp:category/>
  <cp:contentStatus/>
</cp:coreProperties>
</file>