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estion TIC\Documents\SCRD MR\DLB\"/>
    </mc:Choice>
  </mc:AlternateContent>
  <bookViews>
    <workbookView xWindow="0" yWindow="0" windowWidth="20490" windowHeight="753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Procesos" sheetId="21" state="hidden" r:id="rId8"/>
    <sheet name="Opciones Tratamiento" sheetId="16" state="hidden" r:id="rId9"/>
    <sheet name="Hoja1" sheetId="11" state="hidden" r:id="rId10"/>
  </sheets>
  <calcPr calcId="162913"/>
  <pivotCaches>
    <pivotCache cacheId="0" r:id="rId11"/>
    <pivotCache cacheId="1" r:id="rId12"/>
  </pivotCaches>
</workbook>
</file>

<file path=xl/calcChain.xml><?xml version="1.0" encoding="utf-8"?>
<calcChain xmlns="http://schemas.openxmlformats.org/spreadsheetml/2006/main">
  <c r="W58" i="1" l="1"/>
  <c r="T58" i="1"/>
  <c r="AE58" i="1" s="1"/>
  <c r="AD58" i="1" s="1"/>
  <c r="AE57" i="1"/>
  <c r="AD57" i="1"/>
  <c r="AA57" i="1"/>
  <c r="AC57" i="1" s="1"/>
  <c r="W57" i="1"/>
  <c r="T57" i="1"/>
  <c r="AE56" i="1"/>
  <c r="AD56" i="1"/>
  <c r="AA56" i="1"/>
  <c r="AC56" i="1" s="1"/>
  <c r="W56" i="1"/>
  <c r="T56" i="1"/>
  <c r="AE55" i="1"/>
  <c r="AD55" i="1"/>
  <c r="W55" i="1"/>
  <c r="T55" i="1"/>
  <c r="AE54" i="1"/>
  <c r="AD54" i="1"/>
  <c r="W54" i="1"/>
  <c r="T54" i="1"/>
  <c r="AA55" i="1" s="1"/>
  <c r="W53" i="1"/>
  <c r="T53" i="1"/>
  <c r="AA54" i="1" s="1"/>
  <c r="K53" i="1"/>
  <c r="L53" i="1" s="1"/>
  <c r="W48" i="1"/>
  <c r="T48" i="1"/>
  <c r="W49" i="1"/>
  <c r="T49" i="1"/>
  <c r="W42" i="1"/>
  <c r="T42" i="1"/>
  <c r="W44" i="1"/>
  <c r="T44" i="1"/>
  <c r="W43" i="1"/>
  <c r="T43" i="1"/>
  <c r="W32" i="1"/>
  <c r="T32" i="1"/>
  <c r="W28" i="1"/>
  <c r="T28" i="1"/>
  <c r="W27" i="1"/>
  <c r="T27" i="1"/>
  <c r="W31" i="1"/>
  <c r="T31" i="1"/>
  <c r="W30" i="1"/>
  <c r="T30" i="1"/>
  <c r="W29" i="1"/>
  <c r="T29" i="1"/>
  <c r="N56" i="1"/>
  <c r="N55" i="1"/>
  <c r="N54" i="1"/>
  <c r="N58" i="1"/>
  <c r="N57" i="1"/>
  <c r="AB54" i="1" l="1"/>
  <c r="AF54" i="1" s="1"/>
  <c r="AC54" i="1"/>
  <c r="AC55" i="1"/>
  <c r="AB55" i="1"/>
  <c r="AF55" i="1" s="1"/>
  <c r="AB56" i="1"/>
  <c r="AF56" i="1" s="1"/>
  <c r="AB57" i="1"/>
  <c r="AF57" i="1" s="1"/>
  <c r="AA58" i="1"/>
  <c r="AA53" i="1"/>
  <c r="W37" i="1"/>
  <c r="T37" i="1"/>
  <c r="W35" i="1"/>
  <c r="W40" i="1"/>
  <c r="T40" i="1"/>
  <c r="W39" i="1"/>
  <c r="T39" i="1"/>
  <c r="AA40" i="1" s="1"/>
  <c r="W38" i="1"/>
  <c r="T38" i="1"/>
  <c r="AE38" i="1" s="1"/>
  <c r="AD38" i="1" s="1"/>
  <c r="W36" i="1"/>
  <c r="T36" i="1"/>
  <c r="T35" i="1"/>
  <c r="K35" i="1"/>
  <c r="W25" i="1"/>
  <c r="W24" i="1"/>
  <c r="W23" i="1"/>
  <c r="N38" i="1"/>
  <c r="N37" i="1"/>
  <c r="N40" i="1"/>
  <c r="N39" i="1"/>
  <c r="N36" i="1"/>
  <c r="AC53" i="1" l="1"/>
  <c r="AB53" i="1"/>
  <c r="AC58" i="1"/>
  <c r="AB58" i="1"/>
  <c r="AF58" i="1" s="1"/>
  <c r="AE40" i="1"/>
  <c r="AD40" i="1" s="1"/>
  <c r="AE39" i="1"/>
  <c r="AD39" i="1" s="1"/>
  <c r="AC40" i="1"/>
  <c r="AB40" i="1"/>
  <c r="L35" i="1"/>
  <c r="AA35" i="1" s="1"/>
  <c r="AA38" i="1"/>
  <c r="AA39" i="1"/>
  <c r="W75" i="1"/>
  <c r="T75" i="1"/>
  <c r="W74" i="1"/>
  <c r="T74" i="1"/>
  <c r="W73" i="1"/>
  <c r="T73" i="1"/>
  <c r="W72" i="1"/>
  <c r="T72" i="1"/>
  <c r="W71" i="1"/>
  <c r="T71" i="1"/>
  <c r="W46" i="1"/>
  <c r="T46" i="1"/>
  <c r="W45" i="1"/>
  <c r="T45" i="1"/>
  <c r="W41" i="1"/>
  <c r="T41" i="1"/>
  <c r="K41" i="1"/>
  <c r="L41" i="1" s="1"/>
  <c r="W34" i="1"/>
  <c r="T34" i="1"/>
  <c r="W33" i="1"/>
  <c r="T33" i="1"/>
  <c r="AE33" i="1"/>
  <c r="AD33" i="1" s="1"/>
  <c r="K29" i="1"/>
  <c r="L29" i="1" s="1"/>
  <c r="W26" i="1"/>
  <c r="T26" i="1"/>
  <c r="T25" i="1"/>
  <c r="T24" i="1"/>
  <c r="T23" i="1"/>
  <c r="K23" i="1"/>
  <c r="L23" i="1" s="1"/>
  <c r="N46" i="1"/>
  <c r="N32" i="1"/>
  <c r="N33" i="1"/>
  <c r="N45" i="1"/>
  <c r="N31" i="1"/>
  <c r="N44" i="1"/>
  <c r="N28" i="1"/>
  <c r="N43" i="1"/>
  <c r="N27" i="1"/>
  <c r="N42" i="1"/>
  <c r="N26" i="1"/>
  <c r="N34" i="1"/>
  <c r="N24" i="1"/>
  <c r="N30" i="1"/>
  <c r="N25" i="1"/>
  <c r="AF40" i="1" l="1"/>
  <c r="AC35" i="1"/>
  <c r="AA36" i="1" s="1"/>
  <c r="AB35" i="1"/>
  <c r="AB39" i="1"/>
  <c r="AF39" i="1" s="1"/>
  <c r="AC39" i="1"/>
  <c r="AC38" i="1"/>
  <c r="AB38" i="1"/>
  <c r="AF38" i="1" s="1"/>
  <c r="AE45" i="1"/>
  <c r="AD45" i="1" s="1"/>
  <c r="AA33" i="1"/>
  <c r="AB33" i="1" s="1"/>
  <c r="AF33" i="1" s="1"/>
  <c r="AA34" i="1"/>
  <c r="AB34" i="1" s="1"/>
  <c r="AA41" i="1"/>
  <c r="AC41" i="1" s="1"/>
  <c r="AA42" i="1" s="1"/>
  <c r="AB42" i="1" s="1"/>
  <c r="AA45" i="1"/>
  <c r="AC45" i="1" s="1"/>
  <c r="AA43" i="1"/>
  <c r="AC43" i="1" s="1"/>
  <c r="AA44" i="1" s="1"/>
  <c r="AB44" i="1" s="1"/>
  <c r="AE46" i="1"/>
  <c r="AD46" i="1" s="1"/>
  <c r="AE34" i="1"/>
  <c r="AD34" i="1" s="1"/>
  <c r="AA46" i="1"/>
  <c r="AA29" i="1"/>
  <c r="AA23" i="1"/>
  <c r="AC33" i="1" l="1"/>
  <c r="AB36" i="1"/>
  <c r="AC36" i="1"/>
  <c r="AA37" i="1" s="1"/>
  <c r="AF34" i="1"/>
  <c r="AC34" i="1"/>
  <c r="AB45" i="1"/>
  <c r="AF45" i="1" s="1"/>
  <c r="AC42" i="1"/>
  <c r="AB43" i="1"/>
  <c r="AC44" i="1"/>
  <c r="AB41" i="1"/>
  <c r="AC46" i="1"/>
  <c r="AB46" i="1"/>
  <c r="AF46" i="1" s="1"/>
  <c r="AC29" i="1"/>
  <c r="AA30" i="1" s="1"/>
  <c r="AB29" i="1"/>
  <c r="AC23" i="1"/>
  <c r="AA24" i="1" s="1"/>
  <c r="AB23" i="1"/>
  <c r="AC37" i="1" l="1"/>
  <c r="AB37" i="1"/>
  <c r="AB30" i="1"/>
  <c r="AC30" i="1"/>
  <c r="AA31" i="1" s="1"/>
  <c r="AB24" i="1"/>
  <c r="AC24" i="1"/>
  <c r="AA25" i="1" s="1"/>
  <c r="AB31" i="1" l="1"/>
  <c r="AC31" i="1"/>
  <c r="AA32" i="1" s="1"/>
  <c r="AC25" i="1"/>
  <c r="AA26" i="1" s="1"/>
  <c r="AB25" i="1"/>
  <c r="AC32" i="1" l="1"/>
  <c r="AB32" i="1"/>
  <c r="AC26" i="1"/>
  <c r="AA27" i="1" s="1"/>
  <c r="AB26" i="1"/>
  <c r="AB27" i="1" l="1"/>
  <c r="AC27" i="1"/>
  <c r="AA28" i="1" s="1"/>
  <c r="AC28" i="1" l="1"/>
  <c r="AB28" i="1"/>
  <c r="K47" i="1" l="1"/>
  <c r="L47" i="1"/>
  <c r="T47" i="1"/>
  <c r="W47" i="1"/>
  <c r="N48" i="1"/>
  <c r="AA47" i="1" l="1"/>
  <c r="AC47" i="1" s="1"/>
  <c r="N49" i="1"/>
  <c r="AB47" i="1" l="1"/>
  <c r="AA48" i="1"/>
  <c r="N50" i="1"/>
  <c r="AB48" i="1" l="1"/>
  <c r="AC48" i="1"/>
  <c r="AA49" i="1" s="1"/>
  <c r="T50" i="1"/>
  <c r="AE50" i="1" s="1"/>
  <c r="AD50" i="1" s="1"/>
  <c r="W50" i="1"/>
  <c r="N51" i="1"/>
  <c r="AA50" i="1" l="1"/>
  <c r="AB50" i="1" s="1"/>
  <c r="AF50" i="1" s="1"/>
  <c r="AC49" i="1"/>
  <c r="AB49" i="1"/>
  <c r="T51" i="1"/>
  <c r="AE51" i="1" s="1"/>
  <c r="AD51" i="1" s="1"/>
  <c r="W51" i="1"/>
  <c r="N52" i="1"/>
  <c r="AA51" i="1" l="1"/>
  <c r="AB51" i="1" s="1"/>
  <c r="AF51" i="1" s="1"/>
  <c r="AC50" i="1"/>
  <c r="T52" i="1"/>
  <c r="AE52" i="1" s="1"/>
  <c r="AD52" i="1" s="1"/>
  <c r="W52" i="1"/>
  <c r="K59" i="1"/>
  <c r="L59" i="1"/>
  <c r="T59" i="1"/>
  <c r="W59" i="1"/>
  <c r="N60" i="1"/>
  <c r="AA59" i="1" l="1"/>
  <c r="AB59" i="1" s="1"/>
  <c r="AC51" i="1"/>
  <c r="AA52" i="1"/>
  <c r="T60" i="1"/>
  <c r="W60" i="1"/>
  <c r="N61" i="1"/>
  <c r="AA60" i="1" l="1"/>
  <c r="AC60" i="1" s="1"/>
  <c r="AC59" i="1"/>
  <c r="AB52" i="1"/>
  <c r="AF52" i="1" s="1"/>
  <c r="AC52" i="1"/>
  <c r="T61" i="1"/>
  <c r="AE61" i="1" s="1"/>
  <c r="AD61" i="1" s="1"/>
  <c r="W61" i="1"/>
  <c r="AA61" i="1"/>
  <c r="AC61" i="1" s="1"/>
  <c r="N62" i="1"/>
  <c r="AB60" i="1" l="1"/>
  <c r="AB61" i="1"/>
  <c r="AF61" i="1" s="1"/>
  <c r="T62" i="1"/>
  <c r="W62" i="1"/>
  <c r="AA62" i="1"/>
  <c r="AB62" i="1" s="1"/>
  <c r="AE62" i="1"/>
  <c r="AD62" i="1" s="1"/>
  <c r="N63" i="1"/>
  <c r="AF62" i="1" l="1"/>
  <c r="AC62" i="1"/>
  <c r="T63" i="1"/>
  <c r="AE63" i="1" s="1"/>
  <c r="AD63" i="1" s="1"/>
  <c r="W63" i="1"/>
  <c r="N70" i="1"/>
  <c r="AA63" i="1" l="1"/>
  <c r="T70" i="1"/>
  <c r="AA70" i="1" s="1"/>
  <c r="W70" i="1"/>
  <c r="W76" i="1"/>
  <c r="T76" i="1"/>
  <c r="AA76" i="1" s="1"/>
  <c r="AC76" i="1" s="1"/>
  <c r="AE75" i="1"/>
  <c r="AD75" i="1" s="1"/>
  <c r="AE74" i="1"/>
  <c r="AD74" i="1" s="1"/>
  <c r="K71" i="1"/>
  <c r="L71" i="1" s="1"/>
  <c r="AA71" i="1" s="1"/>
  <c r="N76" i="1"/>
  <c r="N72" i="1"/>
  <c r="N75" i="1"/>
  <c r="N74" i="1"/>
  <c r="N73" i="1"/>
  <c r="AE76" i="1" l="1"/>
  <c r="AD76" i="1" s="1"/>
  <c r="AB70" i="1"/>
  <c r="AC70" i="1"/>
  <c r="AE70" i="1"/>
  <c r="AD70" i="1" s="1"/>
  <c r="AA75" i="1"/>
  <c r="AB75" i="1" s="1"/>
  <c r="AF75" i="1" s="1"/>
  <c r="AB63" i="1"/>
  <c r="AF63" i="1" s="1"/>
  <c r="AC63" i="1"/>
  <c r="AC71" i="1"/>
  <c r="AA72" i="1" s="1"/>
  <c r="AB71" i="1"/>
  <c r="AA74" i="1"/>
  <c r="AB76" i="1"/>
  <c r="AF76" i="1" l="1"/>
  <c r="AC75" i="1"/>
  <c r="AF70" i="1"/>
  <c r="AC74" i="1"/>
  <c r="AB74" i="1"/>
  <c r="AF74" i="1" s="1"/>
  <c r="AB72" i="1"/>
  <c r="AC72" i="1"/>
  <c r="AA73" i="1" s="1"/>
  <c r="AC73" i="1" s="1"/>
  <c r="AB73" i="1" l="1"/>
  <c r="T12" i="1" l="1"/>
  <c r="T13" i="1"/>
  <c r="T14" i="1"/>
  <c r="T15" i="1"/>
  <c r="T16" i="1"/>
  <c r="T17" i="1"/>
  <c r="T18" i="1"/>
  <c r="T19" i="1"/>
  <c r="T20" i="1"/>
  <c r="T21" i="1"/>
  <c r="T22" i="1"/>
  <c r="T11" i="1"/>
  <c r="K11" i="1" l="1"/>
  <c r="G26" i="21"/>
  <c r="W11" i="1" l="1"/>
  <c r="L11" i="1"/>
  <c r="N20" i="1"/>
  <c r="N21" i="1"/>
  <c r="N19" i="1"/>
  <c r="N22" i="1"/>
  <c r="N18" i="1"/>
  <c r="F221" i="13" l="1"/>
  <c r="F211" i="13"/>
  <c r="F212" i="13"/>
  <c r="F213" i="13"/>
  <c r="F214" i="13"/>
  <c r="F215" i="13"/>
  <c r="F216" i="13"/>
  <c r="F217" i="13"/>
  <c r="F218" i="13"/>
  <c r="F219" i="13"/>
  <c r="F220" i="13"/>
  <c r="F210" i="13"/>
  <c r="N16" i="1"/>
  <c r="N13" i="1"/>
  <c r="N15" i="1"/>
  <c r="N14" i="1"/>
  <c r="N12" i="1"/>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7" i="1" l="1"/>
  <c r="W22" i="1"/>
  <c r="W21" i="1"/>
  <c r="W20" i="1"/>
  <c r="W19" i="1"/>
  <c r="W18" i="1"/>
  <c r="W17" i="1"/>
  <c r="L17" i="1" l="1"/>
  <c r="AA17" i="1"/>
  <c r="AB17" i="1" l="1"/>
  <c r="AC17" i="1"/>
  <c r="AA18" i="1" s="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W12" i="1"/>
  <c r="W13" i="1"/>
  <c r="W14" i="1"/>
  <c r="W15" i="1"/>
  <c r="W16" i="1"/>
  <c r="AB18" i="1" l="1"/>
  <c r="AC18" i="1"/>
  <c r="AA19" i="1" s="1"/>
  <c r="AB19" i="1" s="1"/>
  <c r="AC19" i="1" l="1"/>
  <c r="AA20" i="1" s="1"/>
  <c r="AB20" i="1" s="1"/>
  <c r="AC20" i="1" l="1"/>
  <c r="AA21" i="1" s="1"/>
  <c r="AC21" i="1" s="1"/>
  <c r="AA22" i="1" s="1"/>
  <c r="AA11" i="1"/>
  <c r="AB11" i="1" s="1"/>
  <c r="AB21" i="1" l="1"/>
  <c r="AB22" i="1"/>
  <c r="AC22" i="1"/>
  <c r="AC11" i="1" l="1"/>
  <c r="AA12" i="1" s="1"/>
  <c r="AB12" i="1" l="1"/>
  <c r="AC12" i="1" l="1"/>
  <c r="AA13" i="1" s="1"/>
  <c r="AB13" i="1" s="1"/>
  <c r="AC13" i="1" l="1"/>
  <c r="AA14" i="1" s="1"/>
  <c r="AC14" i="1" l="1"/>
  <c r="AA15" i="1" s="1"/>
  <c r="AB15" i="1" l="1"/>
  <c r="AC15" i="1"/>
  <c r="AA16" i="1" s="1"/>
  <c r="AB14" i="1"/>
  <c r="AB16" i="1" l="1"/>
  <c r="AC16" i="1"/>
  <c r="AE13" i="1" l="1"/>
  <c r="AE20" i="1" l="1"/>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E14" i="1"/>
  <c r="AD14" i="1" s="1"/>
  <c r="AD13" i="1"/>
  <c r="AE15" i="1"/>
  <c r="AD15" i="1" l="1"/>
  <c r="AE16" i="1"/>
  <c r="AD16" i="1" s="1"/>
  <c r="AD20" i="1"/>
  <c r="AE21"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F14" i="1"/>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AF13" i="1"/>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F20" i="1"/>
  <c r="AE47" i="19"/>
  <c r="Y17" i="19"/>
  <c r="AE7" i="19"/>
  <c r="M27" i="19"/>
  <c r="S47" i="19"/>
  <c r="M7" i="19"/>
  <c r="M37" i="19"/>
  <c r="S17" i="19"/>
  <c r="AK7" i="19"/>
  <c r="AK47" i="19"/>
  <c r="AK37"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AM46" i="19"/>
  <c r="U36" i="19"/>
  <c r="AG16" i="19"/>
  <c r="O6" i="19"/>
  <c r="AA36" i="19"/>
  <c r="AM16" i="19"/>
  <c r="U6" i="19"/>
  <c r="AG46" i="19"/>
  <c r="AA16" i="19"/>
  <c r="AF16" i="1"/>
  <c r="AA6" i="19"/>
  <c r="AG6" i="19"/>
  <c r="AA46" i="19"/>
  <c r="AM26" i="19"/>
  <c r="U16" i="19"/>
  <c r="O36" i="19"/>
  <c r="U26" i="19"/>
  <c r="O46" i="19"/>
  <c r="AA26" i="19"/>
  <c r="AM6" i="19"/>
  <c r="U46" i="19"/>
  <c r="AG26" i="19"/>
  <c r="O16" i="19"/>
  <c r="AG36" i="19"/>
  <c r="O26" i="19"/>
  <c r="AM36" i="19"/>
  <c r="AE22" i="1"/>
  <c r="AD22" i="1" s="1"/>
  <c r="AD21" i="1"/>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F15"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21" i="1"/>
  <c r="AF47" i="19"/>
  <c r="AL47" i="19"/>
  <c r="T27" i="19"/>
  <c r="Z37" i="19"/>
  <c r="T37" i="19"/>
  <c r="N37" i="19"/>
  <c r="N47" i="19"/>
  <c r="Z27" i="19"/>
  <c r="AL7" i="19"/>
  <c r="AL17" i="19"/>
  <c r="AF17" i="19"/>
  <c r="AL27" i="19"/>
  <c r="N27" i="19"/>
  <c r="N7" i="19"/>
  <c r="Z7" i="19"/>
  <c r="T47" i="19"/>
  <c r="AG37" i="19"/>
  <c r="AG47" i="19"/>
  <c r="U7" i="19"/>
  <c r="AM47" i="19"/>
  <c r="U27" i="19"/>
  <c r="O37" i="19"/>
  <c r="O17" i="19"/>
  <c r="AA7" i="19"/>
  <c r="AA47" i="19"/>
  <c r="O27" i="19"/>
  <c r="U37" i="19"/>
  <c r="AM17" i="19"/>
  <c r="AM37" i="19"/>
  <c r="AG27" i="19"/>
  <c r="AM7" i="19"/>
  <c r="AG7" i="19"/>
  <c r="AF22" i="1"/>
  <c r="AA17" i="19"/>
  <c r="O7" i="19"/>
  <c r="AA37" i="19"/>
  <c r="AA27" i="19"/>
  <c r="AM27" i="19"/>
  <c r="U17" i="19"/>
  <c r="U47" i="19"/>
  <c r="AG17" i="19"/>
  <c r="O47" i="19"/>
  <c r="B223" i="13"/>
  <c r="B222" i="13"/>
  <c r="N53" i="1" l="1"/>
  <c r="O53" i="1" s="1"/>
  <c r="Q53" i="1" s="1"/>
  <c r="N35" i="1"/>
  <c r="O35" i="1" s="1"/>
  <c r="P35" i="1" s="1"/>
  <c r="AE35" i="1" s="1"/>
  <c r="N41" i="1"/>
  <c r="O41" i="1" s="1"/>
  <c r="P41" i="1" s="1"/>
  <c r="N23" i="1"/>
  <c r="O23" i="1" s="1"/>
  <c r="Q23" i="1" s="1"/>
  <c r="N29" i="1"/>
  <c r="O29" i="1" s="1"/>
  <c r="N59" i="1"/>
  <c r="O59" i="1" s="1"/>
  <c r="N47" i="1"/>
  <c r="O47" i="1" s="1"/>
  <c r="N71" i="1"/>
  <c r="O71" i="1" s="1"/>
  <c r="N11" i="1"/>
  <c r="O11" i="1" s="1"/>
  <c r="N17" i="1"/>
  <c r="O17" i="1" s="1"/>
  <c r="P53" i="1" l="1"/>
  <c r="AE53" i="1" s="1"/>
  <c r="AD53" i="1" s="1"/>
  <c r="AF53" i="1" s="1"/>
  <c r="AE41" i="1"/>
  <c r="AD41" i="1" s="1"/>
  <c r="AF41" i="1" s="1"/>
  <c r="AE42" i="1"/>
  <c r="Q35" i="1"/>
  <c r="AD35" i="1"/>
  <c r="AF35" i="1" s="1"/>
  <c r="AE36" i="1"/>
  <c r="Q41" i="1"/>
  <c r="P23" i="1"/>
  <c r="AE23" i="1" s="1"/>
  <c r="AD23" i="1" s="1"/>
  <c r="AF23" i="1" s="1"/>
  <c r="P29" i="1"/>
  <c r="AE29" i="1" s="1"/>
  <c r="Q29" i="1"/>
  <c r="P47" i="1"/>
  <c r="AE47" i="1" s="1"/>
  <c r="Q47" i="1"/>
  <c r="P59" i="1"/>
  <c r="AE59" i="1" s="1"/>
  <c r="Q59" i="1"/>
  <c r="P71" i="1"/>
  <c r="AE71" i="1" s="1"/>
  <c r="Q71" i="1"/>
  <c r="X6" i="18"/>
  <c r="AJ30" i="18"/>
  <c r="R22" i="18"/>
  <c r="L6" i="18"/>
  <c r="R30" i="18"/>
  <c r="X22" i="18"/>
  <c r="X38" i="18"/>
  <c r="AD38" i="18"/>
  <c r="Q17" i="1"/>
  <c r="AD22" i="18"/>
  <c r="P17" i="1"/>
  <c r="AE17"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L32" i="18"/>
  <c r="X8" i="18"/>
  <c r="X24" i="18"/>
  <c r="AJ8" i="18"/>
  <c r="R40" i="18"/>
  <c r="L40" i="18"/>
  <c r="X16" i="18"/>
  <c r="L24" i="18"/>
  <c r="AJ24" i="18"/>
  <c r="X32" i="18"/>
  <c r="AJ40" i="18"/>
  <c r="R16" i="18"/>
  <c r="AD40" i="18"/>
  <c r="AD32" i="18"/>
  <c r="AD16" i="18"/>
  <c r="J42" i="18"/>
  <c r="P34" i="18"/>
  <c r="AB18" i="18"/>
  <c r="AB42" i="18"/>
  <c r="AH34" i="18"/>
  <c r="P10" i="18"/>
  <c r="V34" i="18"/>
  <c r="P42" i="18"/>
  <c r="V42" i="18"/>
  <c r="AH42" i="18"/>
  <c r="AB26" i="18"/>
  <c r="AH26" i="18"/>
  <c r="V26" i="18"/>
  <c r="AB34" i="18"/>
  <c r="V10" i="18"/>
  <c r="AH18" i="18"/>
  <c r="J34" i="18"/>
  <c r="J10" i="18"/>
  <c r="AB10" i="18"/>
  <c r="J18" i="18"/>
  <c r="P26" i="18"/>
  <c r="J26" i="18"/>
  <c r="AH10" i="18"/>
  <c r="P18" i="18"/>
  <c r="V18" i="18"/>
  <c r="X42" i="18"/>
  <c r="AD34" i="18"/>
  <c r="AD10" i="18"/>
  <c r="AD26" i="18"/>
  <c r="L10" i="18"/>
  <c r="L42" i="18"/>
  <c r="L26" i="18"/>
  <c r="X18" i="18"/>
  <c r="X34" i="18"/>
  <c r="X10" i="18"/>
  <c r="R18" i="18"/>
  <c r="AJ10" i="18"/>
  <c r="AD42" i="18"/>
  <c r="AJ34" i="18"/>
  <c r="R26" i="18"/>
  <c r="L18" i="18"/>
  <c r="AJ26" i="18"/>
  <c r="AD18" i="18"/>
  <c r="R34" i="18"/>
  <c r="L34" i="18"/>
  <c r="AJ42" i="18"/>
  <c r="R10" i="18"/>
  <c r="R42" i="18"/>
  <c r="X26" i="18"/>
  <c r="AJ18" i="18"/>
  <c r="T14" i="18"/>
  <c r="AL38" i="18"/>
  <c r="N14" i="18"/>
  <c r="Z6" i="18"/>
  <c r="T38" i="18"/>
  <c r="T22" i="18"/>
  <c r="AL14" i="18"/>
  <c r="N22" i="18"/>
  <c r="AF22" i="18"/>
  <c r="N6" i="18"/>
  <c r="AF6" i="18"/>
  <c r="AF38" i="18"/>
  <c r="N38" i="18"/>
  <c r="AL30" i="18"/>
  <c r="AL22" i="18"/>
  <c r="T6" i="18"/>
  <c r="AF14" i="18"/>
  <c r="AF30" i="18"/>
  <c r="Z22" i="18"/>
  <c r="T30" i="18"/>
  <c r="Z30" i="18"/>
  <c r="AL6" i="18"/>
  <c r="Z14" i="18"/>
  <c r="Z38" i="18"/>
  <c r="N30" i="18"/>
  <c r="J40" i="18"/>
  <c r="AB40" i="18"/>
  <c r="AH32" i="18"/>
  <c r="AB24" i="18"/>
  <c r="V16" i="18"/>
  <c r="J16" i="18"/>
  <c r="P32" i="18"/>
  <c r="V24" i="18"/>
  <c r="P24" i="18"/>
  <c r="V40" i="18"/>
  <c r="P16" i="18"/>
  <c r="P40" i="18"/>
  <c r="V32" i="18"/>
  <c r="AH16" i="18"/>
  <c r="AB16" i="18"/>
  <c r="V8" i="18"/>
  <c r="AH24" i="18"/>
  <c r="AH8" i="18"/>
  <c r="AH40" i="18"/>
  <c r="J8" i="18"/>
  <c r="AB32" i="18"/>
  <c r="AB8" i="18"/>
  <c r="J24" i="18"/>
  <c r="J32" i="18"/>
  <c r="P8" i="18"/>
  <c r="Z42" i="18"/>
  <c r="T18" i="18"/>
  <c r="AF34" i="18"/>
  <c r="AF42" i="18"/>
  <c r="N42" i="18"/>
  <c r="Z18" i="18"/>
  <c r="AL10" i="18"/>
  <c r="AL26" i="18"/>
  <c r="AF26" i="18"/>
  <c r="Z10" i="18"/>
  <c r="N18" i="18"/>
  <c r="T26" i="18"/>
  <c r="AF10" i="18"/>
  <c r="T34" i="18"/>
  <c r="N26" i="18"/>
  <c r="AL18" i="18"/>
  <c r="N10" i="18"/>
  <c r="AF18" i="18"/>
  <c r="Z26" i="18"/>
  <c r="AL34" i="18"/>
  <c r="Z34" i="18"/>
  <c r="T10" i="18"/>
  <c r="AL42" i="18"/>
  <c r="N34" i="18"/>
  <c r="T42" i="18"/>
  <c r="P14" i="18"/>
  <c r="V22" i="18"/>
  <c r="V14" i="18"/>
  <c r="P22" i="18"/>
  <c r="V38" i="18"/>
  <c r="AH14" i="18"/>
  <c r="AH38" i="18"/>
  <c r="J14" i="18"/>
  <c r="AB22" i="18"/>
  <c r="V30" i="18"/>
  <c r="AB14" i="18"/>
  <c r="AB38" i="18"/>
  <c r="J30" i="18"/>
  <c r="P38" i="18"/>
  <c r="AB6" i="18"/>
  <c r="P11" i="1"/>
  <c r="AE11" i="1" s="1"/>
  <c r="AH30" i="18"/>
  <c r="J38" i="18"/>
  <c r="AH6" i="18"/>
  <c r="V6" i="18"/>
  <c r="AB30" i="18"/>
  <c r="J22" i="18"/>
  <c r="J6" i="18"/>
  <c r="P30" i="18"/>
  <c r="AH22" i="18"/>
  <c r="P6" i="18"/>
  <c r="Q11" i="1"/>
  <c r="AH12" i="18"/>
  <c r="J20" i="18"/>
  <c r="J44" i="18"/>
  <c r="AB28" i="18"/>
  <c r="P28" i="18"/>
  <c r="P12" i="18"/>
  <c r="AH20" i="18"/>
  <c r="P44" i="18"/>
  <c r="AB12" i="18"/>
  <c r="P20" i="18"/>
  <c r="J36" i="18"/>
  <c r="P36" i="18"/>
  <c r="AB44" i="18"/>
  <c r="V44" i="18"/>
  <c r="J28" i="18"/>
  <c r="AH36" i="18"/>
  <c r="V12" i="18"/>
  <c r="V28" i="18"/>
  <c r="AH44" i="18"/>
  <c r="AB20" i="18"/>
  <c r="AB36" i="18"/>
  <c r="AH28" i="18"/>
  <c r="V36" i="18"/>
  <c r="V20" i="18"/>
  <c r="J12" i="18"/>
  <c r="AF24" i="18"/>
  <c r="AF32" i="18"/>
  <c r="T40" i="18"/>
  <c r="Z40" i="18"/>
  <c r="AL8" i="18"/>
  <c r="AF8" i="18"/>
  <c r="T8" i="18"/>
  <c r="Z16" i="18"/>
  <c r="T24" i="18"/>
  <c r="AL24" i="18"/>
  <c r="Z32" i="18"/>
  <c r="N32" i="18"/>
  <c r="N16" i="18"/>
  <c r="Z8" i="18"/>
  <c r="AL40" i="18"/>
  <c r="N8" i="18"/>
  <c r="N24" i="18"/>
  <c r="T32" i="18"/>
  <c r="T16" i="18"/>
  <c r="AF40" i="18"/>
  <c r="AF16" i="18"/>
  <c r="AL32" i="18"/>
  <c r="N40" i="18"/>
  <c r="Z24" i="18"/>
  <c r="AL16" i="18"/>
  <c r="AD42" i="1" l="1"/>
  <c r="AF42" i="1" s="1"/>
  <c r="AE43" i="1"/>
  <c r="AD36" i="1"/>
  <c r="AF36" i="1" s="1"/>
  <c r="AE37" i="1"/>
  <c r="AD37" i="1" s="1"/>
  <c r="AF37" i="1" s="1"/>
  <c r="AE24" i="1"/>
  <c r="AD24" i="1" s="1"/>
  <c r="AF24" i="1" s="1"/>
  <c r="AD29" i="1"/>
  <c r="AF29" i="1" s="1"/>
  <c r="AE30" i="1"/>
  <c r="AD59" i="1"/>
  <c r="AF59" i="1" s="1"/>
  <c r="AE60" i="1"/>
  <c r="AD60" i="1" s="1"/>
  <c r="AF60" i="1" s="1"/>
  <c r="AD47" i="1"/>
  <c r="AF47" i="1" s="1"/>
  <c r="AE48" i="1"/>
  <c r="AE72" i="1"/>
  <c r="AD71" i="1"/>
  <c r="AF71" i="1" s="1"/>
  <c r="AD17" i="1"/>
  <c r="V7" i="19" s="1"/>
  <c r="AE18" i="1"/>
  <c r="V22" i="19"/>
  <c r="J52" i="19"/>
  <c r="P52" i="19"/>
  <c r="AH42" i="19"/>
  <c r="P32" i="19"/>
  <c r="AH22" i="19"/>
  <c r="J12" i="19"/>
  <c r="AH38" i="19"/>
  <c r="AD11" i="1"/>
  <c r="P16" i="19" s="1"/>
  <c r="AE12" i="1"/>
  <c r="AD12" i="1" s="1"/>
  <c r="AD43" i="1" l="1"/>
  <c r="AF43" i="1" s="1"/>
  <c r="AE44" i="1"/>
  <c r="AD44" i="1" s="1"/>
  <c r="AF44" i="1" s="1"/>
  <c r="AD18" i="1"/>
  <c r="Q47" i="19" s="1"/>
  <c r="AE19" i="1"/>
  <c r="AD19" i="1" s="1"/>
  <c r="AD72" i="1"/>
  <c r="AF72" i="1" s="1"/>
  <c r="AE73" i="1"/>
  <c r="AD73" i="1" s="1"/>
  <c r="AE25" i="1"/>
  <c r="AD25" i="1" s="1"/>
  <c r="AF25" i="1" s="1"/>
  <c r="AD30" i="1"/>
  <c r="AF30" i="1" s="1"/>
  <c r="AE31" i="1"/>
  <c r="V41" i="19"/>
  <c r="AH11" i="19"/>
  <c r="V51" i="19"/>
  <c r="V31" i="19"/>
  <c r="AB41" i="19"/>
  <c r="V21" i="19"/>
  <c r="AI11" i="19"/>
  <c r="P51" i="19"/>
  <c r="J51" i="19"/>
  <c r="J31" i="19"/>
  <c r="AH51" i="19"/>
  <c r="AH31" i="19"/>
  <c r="AB31" i="19"/>
  <c r="P31" i="19"/>
  <c r="AB21" i="19"/>
  <c r="J21" i="19"/>
  <c r="P21" i="19"/>
  <c r="AB51" i="19"/>
  <c r="V11" i="19"/>
  <c r="P11" i="19"/>
  <c r="J41" i="19"/>
  <c r="AB11" i="19"/>
  <c r="J11" i="19"/>
  <c r="P41" i="19"/>
  <c r="AH21" i="19"/>
  <c r="AH41" i="19"/>
  <c r="V9" i="19"/>
  <c r="P30" i="19"/>
  <c r="V24" i="19"/>
  <c r="V14" i="19"/>
  <c r="V34" i="19"/>
  <c r="AH34" i="19"/>
  <c r="AB14" i="19"/>
  <c r="P35" i="19"/>
  <c r="J44" i="19"/>
  <c r="J14" i="19"/>
  <c r="J55" i="19"/>
  <c r="AH44" i="19"/>
  <c r="AB54" i="19"/>
  <c r="AH35" i="19"/>
  <c r="P15" i="19"/>
  <c r="V54" i="19"/>
  <c r="AH25" i="19"/>
  <c r="P34" i="19"/>
  <c r="AH14" i="19"/>
  <c r="AH54" i="19"/>
  <c r="AB45" i="19"/>
  <c r="J24" i="19"/>
  <c r="P14" i="19"/>
  <c r="J34" i="19"/>
  <c r="AD48" i="1"/>
  <c r="AF48" i="1" s="1"/>
  <c r="AE49" i="1"/>
  <c r="AD49" i="1" s="1"/>
  <c r="AF49" i="1" s="1"/>
  <c r="V25" i="19"/>
  <c r="P42" i="19"/>
  <c r="V12" i="19"/>
  <c r="J22" i="19"/>
  <c r="AH32" i="19"/>
  <c r="V42" i="19"/>
  <c r="AB12" i="19"/>
  <c r="AH12" i="19"/>
  <c r="AB22" i="19"/>
  <c r="P12" i="19"/>
  <c r="J32" i="19"/>
  <c r="AB52" i="19"/>
  <c r="P22" i="19"/>
  <c r="P55" i="19"/>
  <c r="V32" i="19"/>
  <c r="V52" i="19"/>
  <c r="AB42" i="19"/>
  <c r="AB43" i="19"/>
  <c r="J25" i="19"/>
  <c r="AH52" i="19"/>
  <c r="J42" i="19"/>
  <c r="AB32" i="19"/>
  <c r="AB34" i="19"/>
  <c r="P44" i="19"/>
  <c r="AB24" i="19"/>
  <c r="P54" i="19"/>
  <c r="AB44" i="19"/>
  <c r="V44" i="19"/>
  <c r="J54" i="19"/>
  <c r="AH24" i="19"/>
  <c r="P24" i="19"/>
  <c r="V35" i="19"/>
  <c r="AH45" i="19"/>
  <c r="V55" i="19"/>
  <c r="P45" i="19"/>
  <c r="AC24" i="19"/>
  <c r="Q24" i="19"/>
  <c r="Q44" i="19"/>
  <c r="AI34" i="19"/>
  <c r="K44" i="19"/>
  <c r="W54" i="19"/>
  <c r="Q34" i="19"/>
  <c r="AC44" i="19"/>
  <c r="Q54" i="19"/>
  <c r="AI44" i="19"/>
  <c r="AI54" i="19"/>
  <c r="W14" i="19"/>
  <c r="K54" i="19"/>
  <c r="AI24" i="19"/>
  <c r="AI14" i="19"/>
  <c r="AC14" i="19"/>
  <c r="AB25" i="19"/>
  <c r="J35" i="19"/>
  <c r="J15" i="19"/>
  <c r="AB55" i="19"/>
  <c r="V15" i="19"/>
  <c r="V45" i="19"/>
  <c r="K24" i="19"/>
  <c r="K14" i="19"/>
  <c r="Q14" i="19"/>
  <c r="P25" i="19"/>
  <c r="AH15" i="19"/>
  <c r="AB15" i="19"/>
  <c r="AC54" i="19"/>
  <c r="K34" i="19"/>
  <c r="W24" i="19"/>
  <c r="J45" i="19"/>
  <c r="AB35" i="19"/>
  <c r="AH55" i="19"/>
  <c r="W34" i="19"/>
  <c r="AC34" i="19"/>
  <c r="W44" i="19"/>
  <c r="V17" i="19"/>
  <c r="P37" i="19"/>
  <c r="V29" i="19"/>
  <c r="V49" i="19"/>
  <c r="J7" i="19"/>
  <c r="AH17" i="19"/>
  <c r="AH37" i="19"/>
  <c r="J37" i="19"/>
  <c r="V37" i="19"/>
  <c r="AB47" i="19"/>
  <c r="AH7" i="19"/>
  <c r="P17" i="19"/>
  <c r="AB37" i="19"/>
  <c r="P27" i="19"/>
  <c r="V27" i="19"/>
  <c r="AB27" i="19"/>
  <c r="AF17" i="1"/>
  <c r="AH27" i="19"/>
  <c r="AH29" i="19"/>
  <c r="J27" i="19"/>
  <c r="V47" i="19"/>
  <c r="P47" i="19"/>
  <c r="P39" i="19"/>
  <c r="AB29" i="19"/>
  <c r="AH47" i="19"/>
  <c r="AB7" i="19"/>
  <c r="J47" i="19"/>
  <c r="AB9" i="19"/>
  <c r="J19" i="19"/>
  <c r="AH19" i="19"/>
  <c r="AB17" i="19"/>
  <c r="P9" i="19"/>
  <c r="AH49" i="19"/>
  <c r="P7" i="19"/>
  <c r="J17" i="19"/>
  <c r="AH39" i="19"/>
  <c r="J29" i="19"/>
  <c r="V39" i="19"/>
  <c r="AB39" i="19"/>
  <c r="P19" i="19"/>
  <c r="V19" i="19"/>
  <c r="AB49" i="19"/>
  <c r="J49" i="19"/>
  <c r="P29" i="19"/>
  <c r="J39" i="19"/>
  <c r="AH9" i="19"/>
  <c r="J9" i="19"/>
  <c r="AB19" i="19"/>
  <c r="P49" i="19"/>
  <c r="P53" i="19"/>
  <c r="AH33" i="19"/>
  <c r="AH43" i="19"/>
  <c r="P33" i="19"/>
  <c r="V43" i="19"/>
  <c r="AB53" i="19"/>
  <c r="J43" i="19"/>
  <c r="V13" i="19"/>
  <c r="J13" i="19"/>
  <c r="P23" i="19"/>
  <c r="V53" i="19"/>
  <c r="V23" i="19"/>
  <c r="V33" i="19"/>
  <c r="AH23" i="19"/>
  <c r="AB23" i="19"/>
  <c r="J53" i="19"/>
  <c r="J23" i="19"/>
  <c r="P13" i="19"/>
  <c r="P43" i="19"/>
  <c r="J33" i="19"/>
  <c r="AB33" i="19"/>
  <c r="AH13" i="19"/>
  <c r="AB13" i="19"/>
  <c r="AH53" i="19"/>
  <c r="P10" i="19"/>
  <c r="AB10" i="19"/>
  <c r="AH10" i="19"/>
  <c r="AB50" i="19"/>
  <c r="P50" i="19"/>
  <c r="AH50" i="19"/>
  <c r="V20" i="19"/>
  <c r="AH40" i="19"/>
  <c r="AH20" i="19"/>
  <c r="V40" i="19"/>
  <c r="V50" i="19"/>
  <c r="AB30" i="19"/>
  <c r="J40" i="19"/>
  <c r="J30" i="19"/>
  <c r="AB20" i="19"/>
  <c r="P40" i="19"/>
  <c r="J50" i="19"/>
  <c r="AB40" i="19"/>
  <c r="P20" i="19"/>
  <c r="AH30" i="19"/>
  <c r="V10" i="19"/>
  <c r="V30" i="19"/>
  <c r="J20" i="19"/>
  <c r="J10" i="19"/>
  <c r="AB38" i="19"/>
  <c r="J48" i="19"/>
  <c r="V18" i="19"/>
  <c r="AH18" i="19"/>
  <c r="V8" i="19"/>
  <c r="V38" i="19"/>
  <c r="V28" i="19"/>
  <c r="J28" i="19"/>
  <c r="P28" i="19"/>
  <c r="J38" i="19"/>
  <c r="P8" i="19"/>
  <c r="AH48" i="19"/>
  <c r="AH8" i="19"/>
  <c r="J8" i="19"/>
  <c r="V48" i="19"/>
  <c r="AB48" i="19"/>
  <c r="J18" i="19"/>
  <c r="P48" i="19"/>
  <c r="AB28" i="19"/>
  <c r="AH28" i="19"/>
  <c r="AB18" i="19"/>
  <c r="P38" i="19"/>
  <c r="P18" i="19"/>
  <c r="AB8" i="19"/>
  <c r="AC8" i="19"/>
  <c r="V36" i="19"/>
  <c r="V6" i="19"/>
  <c r="V16" i="19"/>
  <c r="P26" i="19"/>
  <c r="J26" i="19"/>
  <c r="V26" i="19"/>
  <c r="J36" i="19"/>
  <c r="J16" i="19"/>
  <c r="P36" i="19"/>
  <c r="AB26" i="19"/>
  <c r="AB36" i="19"/>
  <c r="J6" i="19"/>
  <c r="P46" i="19"/>
  <c r="AB6" i="19"/>
  <c r="AH36" i="19"/>
  <c r="AB46" i="19"/>
  <c r="AH46" i="19"/>
  <c r="V46" i="19"/>
  <c r="AH16" i="19"/>
  <c r="AH26" i="19"/>
  <c r="AH6" i="19"/>
  <c r="J46" i="19"/>
  <c r="AF11" i="1"/>
  <c r="AB16" i="19"/>
  <c r="P6" i="19"/>
  <c r="W36" i="19"/>
  <c r="AC36" i="19"/>
  <c r="K16" i="19"/>
  <c r="AI36" i="19"/>
  <c r="K46" i="19"/>
  <c r="AI46" i="19"/>
  <c r="AC46" i="19"/>
  <c r="Q46" i="19"/>
  <c r="AC26" i="19"/>
  <c r="AC16" i="19"/>
  <c r="W16" i="19"/>
  <c r="K36" i="19"/>
  <c r="Q26" i="19"/>
  <c r="AF12" i="1"/>
  <c r="Q6" i="19"/>
  <c r="K6" i="19"/>
  <c r="Q16" i="19"/>
  <c r="Q36" i="19"/>
  <c r="AC6" i="19"/>
  <c r="AI6" i="19"/>
  <c r="AI16" i="19"/>
  <c r="W6" i="19"/>
  <c r="AI26" i="19"/>
  <c r="W26" i="19"/>
  <c r="K26" i="19"/>
  <c r="W46" i="19"/>
  <c r="W27" i="19" l="1"/>
  <c r="AD31" i="1"/>
  <c r="AF31" i="1" s="1"/>
  <c r="AE32" i="1"/>
  <c r="AD32" i="1" s="1"/>
  <c r="AC7" i="19"/>
  <c r="AF18" i="1"/>
  <c r="AI17" i="19"/>
  <c r="K7" i="19"/>
  <c r="K37" i="19"/>
  <c r="W7" i="19"/>
  <c r="AI27" i="19"/>
  <c r="Q7" i="19"/>
  <c r="AI47" i="19"/>
  <c r="W47" i="19"/>
  <c r="K17" i="19"/>
  <c r="AC37" i="19"/>
  <c r="Q27" i="19"/>
  <c r="AC27" i="19"/>
  <c r="AC17" i="19"/>
  <c r="Q37" i="19"/>
  <c r="Q17" i="19"/>
  <c r="K47" i="19"/>
  <c r="AC47" i="19"/>
  <c r="W17" i="19"/>
  <c r="W37" i="19"/>
  <c r="AI37" i="19"/>
  <c r="AI7" i="19"/>
  <c r="K27" i="19"/>
  <c r="AC19" i="19"/>
  <c r="AD17" i="19"/>
  <c r="R27" i="19"/>
  <c r="X37" i="19"/>
  <c r="L17" i="19"/>
  <c r="L37" i="19"/>
  <c r="X27" i="19"/>
  <c r="AF19" i="1"/>
  <c r="AD47" i="19"/>
  <c r="R17" i="19"/>
  <c r="R7" i="19"/>
  <c r="R47" i="19"/>
  <c r="AD7" i="19"/>
  <c r="AJ27" i="19"/>
  <c r="AJ17" i="19"/>
  <c r="X17" i="19"/>
  <c r="AD37" i="19"/>
  <c r="AD27" i="19"/>
  <c r="X7" i="19"/>
  <c r="AJ47" i="19"/>
  <c r="AJ7" i="19"/>
  <c r="X47" i="19"/>
  <c r="L47" i="19"/>
  <c r="AJ37" i="19"/>
  <c r="L7" i="19"/>
  <c r="R37" i="19"/>
  <c r="L27" i="19"/>
  <c r="W35" i="19"/>
  <c r="W55" i="19"/>
  <c r="AI39" i="19"/>
  <c r="K19" i="19"/>
  <c r="AC35" i="19"/>
  <c r="W49" i="19"/>
  <c r="AI9" i="19"/>
  <c r="K9" i="19"/>
  <c r="AI49" i="19"/>
  <c r="AC49" i="19"/>
  <c r="K29" i="19"/>
  <c r="AI29" i="19"/>
  <c r="Q29" i="19"/>
  <c r="AC39" i="19"/>
  <c r="Q49" i="19"/>
  <c r="K39" i="19"/>
  <c r="W19" i="19"/>
  <c r="W39" i="19"/>
  <c r="Q9" i="19"/>
  <c r="AC9" i="19"/>
  <c r="AC29" i="19"/>
  <c r="Q39" i="19"/>
  <c r="W9" i="19"/>
  <c r="AI19" i="19"/>
  <c r="Q19" i="19"/>
  <c r="K49" i="19"/>
  <c r="W29" i="19"/>
  <c r="AI25" i="19"/>
  <c r="AI15" i="19"/>
  <c r="Q45" i="19"/>
  <c r="Q25" i="19"/>
  <c r="W25" i="19"/>
  <c r="W15" i="19"/>
  <c r="AC55" i="19"/>
  <c r="AI35" i="19"/>
  <c r="Q15" i="19"/>
  <c r="Q55" i="19"/>
  <c r="K55" i="19"/>
  <c r="W45" i="19"/>
  <c r="AI55" i="19"/>
  <c r="Q35" i="19"/>
  <c r="K45" i="19"/>
  <c r="K35" i="19"/>
  <c r="AC25" i="19"/>
  <c r="AI45" i="19"/>
  <c r="K15" i="19"/>
  <c r="AC15" i="19"/>
  <c r="K25" i="19"/>
  <c r="AC45" i="19"/>
  <c r="AF73" i="1"/>
  <c r="AD55" i="19"/>
  <c r="R55" i="19"/>
  <c r="AD25" i="19"/>
  <c r="L55" i="19"/>
  <c r="X25" i="19"/>
  <c r="X45" i="19"/>
  <c r="R35" i="19"/>
  <c r="L15" i="19"/>
  <c r="L45" i="19"/>
  <c r="AD35" i="19"/>
  <c r="AD45" i="19"/>
  <c r="X15" i="19"/>
  <c r="AJ45" i="19"/>
  <c r="R15" i="19"/>
  <c r="X55" i="19"/>
  <c r="X35" i="19"/>
  <c r="AD15" i="19"/>
  <c r="L35" i="19"/>
  <c r="AJ15" i="19"/>
  <c r="AJ25" i="19"/>
  <c r="AJ55" i="19"/>
  <c r="R25" i="19"/>
  <c r="R45" i="19"/>
  <c r="L25" i="19"/>
  <c r="AJ35" i="19"/>
  <c r="AE26" i="1"/>
  <c r="AD26" i="1" s="1"/>
  <c r="W51" i="19"/>
  <c r="Q41" i="19"/>
  <c r="Q11" i="19"/>
  <c r="AC41" i="19"/>
  <c r="Q31" i="19"/>
  <c r="AI21" i="19"/>
  <c r="Q21" i="19"/>
  <c r="W21" i="19"/>
  <c r="AI41" i="19"/>
  <c r="AI51" i="19"/>
  <c r="AC21" i="19"/>
  <c r="W31" i="19"/>
  <c r="K41" i="19"/>
  <c r="Q51" i="19"/>
  <c r="AC51" i="19"/>
  <c r="K11" i="19"/>
  <c r="K21" i="19"/>
  <c r="W41" i="19"/>
  <c r="AC11" i="19"/>
  <c r="W11" i="19"/>
  <c r="AC31" i="19"/>
  <c r="K31" i="19"/>
  <c r="K51" i="19"/>
  <c r="AD11" i="19"/>
  <c r="L31" i="19"/>
  <c r="AD21" i="19"/>
  <c r="AJ11" i="19"/>
  <c r="AJ21" i="19"/>
  <c r="L21" i="19"/>
  <c r="R51" i="19"/>
  <c r="L51" i="19"/>
  <c r="AD41" i="19"/>
  <c r="AJ41" i="19"/>
  <c r="AD31" i="19"/>
  <c r="L11" i="19"/>
  <c r="X31" i="19"/>
  <c r="X21" i="19"/>
  <c r="R11" i="19"/>
  <c r="R21" i="19"/>
  <c r="X51" i="19"/>
  <c r="X11" i="19"/>
  <c r="X41" i="19"/>
  <c r="AJ31" i="19"/>
  <c r="AJ51" i="19"/>
  <c r="R31" i="19"/>
  <c r="AD51" i="19"/>
  <c r="L41" i="19"/>
  <c r="R41" i="19"/>
  <c r="AI31" i="19"/>
  <c r="AC20" i="19"/>
  <c r="W33" i="19"/>
  <c r="X12" i="19"/>
  <c r="X22" i="19"/>
  <c r="AD52" i="19"/>
  <c r="AD32" i="19"/>
  <c r="R12" i="19"/>
  <c r="AJ22" i="19"/>
  <c r="L42" i="19"/>
  <c r="AD22" i="19"/>
  <c r="AJ52" i="19"/>
  <c r="AD42" i="19"/>
  <c r="L22" i="19"/>
  <c r="R42" i="19"/>
  <c r="L12" i="19"/>
  <c r="AJ32" i="19"/>
  <c r="X42" i="19"/>
  <c r="R22" i="19"/>
  <c r="L32" i="19"/>
  <c r="AJ12" i="19"/>
  <c r="AD12" i="19"/>
  <c r="X32" i="19"/>
  <c r="R52" i="19"/>
  <c r="L52" i="19"/>
  <c r="R32" i="19"/>
  <c r="X52" i="19"/>
  <c r="AJ42" i="19"/>
  <c r="W42" i="19"/>
  <c r="K12" i="19"/>
  <c r="AC12" i="19"/>
  <c r="K52" i="19"/>
  <c r="AI52" i="19"/>
  <c r="Q22" i="19"/>
  <c r="Q12" i="19"/>
  <c r="Q42" i="19"/>
  <c r="K22" i="19"/>
  <c r="W52" i="19"/>
  <c r="Q52" i="19"/>
  <c r="W12" i="19"/>
  <c r="Q32" i="19"/>
  <c r="AI42" i="19"/>
  <c r="K32" i="19"/>
  <c r="AC52" i="19"/>
  <c r="AC22" i="19"/>
  <c r="AI12" i="19"/>
  <c r="W32" i="19"/>
  <c r="W22" i="19"/>
  <c r="AI22" i="19"/>
  <c r="K42" i="19"/>
  <c r="AC32" i="19"/>
  <c r="AC42" i="19"/>
  <c r="AI32" i="19"/>
  <c r="AD39" i="19"/>
  <c r="AJ49" i="19"/>
  <c r="L19" i="19"/>
  <c r="R19" i="19"/>
  <c r="R9" i="19"/>
  <c r="X49" i="19"/>
  <c r="X19" i="19"/>
  <c r="AJ39" i="19"/>
  <c r="AJ9" i="19"/>
  <c r="X29" i="19"/>
  <c r="X39" i="19"/>
  <c r="X9" i="19"/>
  <c r="AD9" i="19"/>
  <c r="AD49" i="19"/>
  <c r="AD29" i="19"/>
  <c r="AJ19" i="19"/>
  <c r="AC43" i="19"/>
  <c r="AC53" i="19"/>
  <c r="K23" i="19"/>
  <c r="W53" i="19"/>
  <c r="K43" i="19"/>
  <c r="Q23" i="19"/>
  <c r="AI13" i="19"/>
  <c r="AI23" i="19"/>
  <c r="K13" i="19"/>
  <c r="AI33" i="19"/>
  <c r="W13" i="19"/>
  <c r="AC23" i="19"/>
  <c r="AC13" i="19"/>
  <c r="K33" i="19"/>
  <c r="Q13" i="19"/>
  <c r="Q53" i="19"/>
  <c r="AI43" i="19"/>
  <c r="Q43" i="19"/>
  <c r="W43" i="19"/>
  <c r="Q33" i="19"/>
  <c r="K53" i="19"/>
  <c r="AC33" i="19"/>
  <c r="AI53" i="19"/>
  <c r="W23" i="19"/>
  <c r="AJ53" i="19"/>
  <c r="AD23" i="19"/>
  <c r="X23" i="19"/>
  <c r="L33" i="19"/>
  <c r="AJ33" i="19"/>
  <c r="AJ43" i="19"/>
  <c r="R33" i="19"/>
  <c r="L23" i="19"/>
  <c r="AJ23" i="19"/>
  <c r="AD33" i="19"/>
  <c r="R43" i="19"/>
  <c r="X43" i="19"/>
  <c r="R53" i="19"/>
  <c r="X33" i="19"/>
  <c r="AD53" i="19"/>
  <c r="X53" i="19"/>
  <c r="X13" i="19"/>
  <c r="AJ13" i="19"/>
  <c r="AD13" i="19"/>
  <c r="AD43" i="19"/>
  <c r="R23" i="19"/>
  <c r="L53" i="19"/>
  <c r="L43" i="19"/>
  <c r="R13" i="19"/>
  <c r="L13" i="19"/>
  <c r="AC10" i="19"/>
  <c r="AC50" i="19"/>
  <c r="AI10" i="19"/>
  <c r="K30" i="19"/>
  <c r="Q20" i="19"/>
  <c r="K50" i="19"/>
  <c r="AC30" i="19"/>
  <c r="AI30" i="19"/>
  <c r="W40" i="19"/>
  <c r="Q30" i="19"/>
  <c r="Q50" i="19"/>
  <c r="W10" i="19"/>
  <c r="K10" i="19"/>
  <c r="AC40" i="19"/>
  <c r="W50" i="19"/>
  <c r="Q40" i="19"/>
  <c r="AI20" i="19"/>
  <c r="Q10" i="19"/>
  <c r="W30" i="19"/>
  <c r="K40" i="19"/>
  <c r="K20" i="19"/>
  <c r="AI40" i="19"/>
  <c r="AI50" i="19"/>
  <c r="W20" i="19"/>
  <c r="W38" i="19"/>
  <c r="K18" i="19"/>
  <c r="K38" i="19"/>
  <c r="AI18" i="19"/>
  <c r="K8" i="19"/>
  <c r="AI28" i="19"/>
  <c r="Q18" i="19"/>
  <c r="AC28" i="19"/>
  <c r="W48" i="19"/>
  <c r="Q38" i="19"/>
  <c r="AC48" i="19"/>
  <c r="Q28" i="19"/>
  <c r="Q8" i="19"/>
  <c r="AI48" i="19"/>
  <c r="AI38" i="19"/>
  <c r="AC38" i="19"/>
  <c r="W8" i="19"/>
  <c r="W28" i="19"/>
  <c r="Q48" i="19"/>
  <c r="K28" i="19"/>
  <c r="K48" i="19"/>
  <c r="AI8" i="19"/>
  <c r="W18" i="19"/>
  <c r="AC18" i="19"/>
  <c r="R18" i="19"/>
  <c r="X28" i="19"/>
  <c r="AJ18" i="19"/>
  <c r="L38" i="19"/>
  <c r="R8" i="19"/>
  <c r="R38" i="19"/>
  <c r="X8" i="19"/>
  <c r="X38" i="19"/>
  <c r="AD28" i="19"/>
  <c r="R48" i="19"/>
  <c r="AJ28" i="19"/>
  <c r="AJ8" i="19"/>
  <c r="L28" i="19"/>
  <c r="L8" i="19"/>
  <c r="X18" i="19"/>
  <c r="AD18" i="19"/>
  <c r="AD38" i="19"/>
  <c r="X48" i="19"/>
  <c r="AJ38" i="19"/>
  <c r="R28" i="19"/>
  <c r="L48" i="19"/>
  <c r="AD8" i="19"/>
  <c r="L18" i="19"/>
  <c r="AJ48" i="19"/>
  <c r="AD48" i="19"/>
  <c r="AJ29" i="19" l="1"/>
  <c r="L29" i="19"/>
  <c r="L49" i="19"/>
  <c r="R39" i="19"/>
  <c r="L39" i="19"/>
  <c r="R29" i="19"/>
  <c r="L9" i="19"/>
  <c r="AD19" i="19"/>
  <c r="R49" i="19"/>
  <c r="AF32" i="1"/>
  <c r="AE19" i="19"/>
  <c r="AK29" i="19"/>
  <c r="Y19" i="19"/>
  <c r="S49" i="19"/>
  <c r="AK39" i="19"/>
  <c r="S29" i="19"/>
  <c r="S19" i="19"/>
  <c r="S9" i="19"/>
  <c r="Y9" i="19"/>
  <c r="AE29" i="19"/>
  <c r="M29" i="19"/>
  <c r="Y49" i="19"/>
  <c r="AE39" i="19"/>
  <c r="M9" i="19"/>
  <c r="Y39" i="19"/>
  <c r="M39" i="19"/>
  <c r="M49" i="19"/>
  <c r="AK9" i="19"/>
  <c r="AK19" i="19"/>
  <c r="M19" i="19"/>
  <c r="AE9" i="19"/>
  <c r="AE49" i="19"/>
  <c r="S39" i="19"/>
  <c r="Y29" i="19"/>
  <c r="AK49" i="19"/>
  <c r="AE27" i="1"/>
  <c r="AD27" i="1" s="1"/>
  <c r="AF26" i="1"/>
  <c r="M38" i="19"/>
  <c r="Y8" i="19"/>
  <c r="AK8" i="19"/>
  <c r="M18" i="19"/>
  <c r="AE8" i="19"/>
  <c r="M8" i="19"/>
  <c r="AE18" i="19"/>
  <c r="M28" i="19"/>
  <c r="Y38" i="19"/>
  <c r="AK18" i="19"/>
  <c r="AE38" i="19"/>
  <c r="AK48" i="19"/>
  <c r="AK38" i="19"/>
  <c r="S8" i="19"/>
  <c r="S18" i="19"/>
  <c r="Y48" i="19"/>
  <c r="Y18" i="19"/>
  <c r="M48" i="19"/>
  <c r="AK28" i="19"/>
  <c r="Y28" i="19"/>
  <c r="AE28" i="19"/>
  <c r="S48" i="19"/>
  <c r="S28" i="19"/>
  <c r="S38" i="19"/>
  <c r="AE48" i="19"/>
  <c r="AE20" i="19"/>
  <c r="L40" i="19"/>
  <c r="R40" i="19"/>
  <c r="AD10" i="19"/>
  <c r="R50" i="19"/>
  <c r="X40" i="19"/>
  <c r="R10" i="19"/>
  <c r="R20" i="19"/>
  <c r="AJ20" i="19"/>
  <c r="AD50" i="19"/>
  <c r="X30" i="19"/>
  <c r="R30" i="19"/>
  <c r="AJ10" i="19"/>
  <c r="AD20" i="19"/>
  <c r="L20" i="19"/>
  <c r="X20" i="19"/>
  <c r="X50" i="19"/>
  <c r="AJ50" i="19"/>
  <c r="L50" i="19"/>
  <c r="L30" i="19"/>
  <c r="AJ30" i="19"/>
  <c r="AJ40" i="19"/>
  <c r="X10" i="19"/>
  <c r="AD30" i="19"/>
  <c r="L10" i="19"/>
  <c r="AD40" i="19"/>
  <c r="AE28" i="1" l="1"/>
  <c r="AD28" i="1" s="1"/>
  <c r="AF28" i="1" s="1"/>
  <c r="AF27" i="1"/>
  <c r="N48" i="19"/>
  <c r="Z48" i="19"/>
  <c r="Z8" i="19"/>
  <c r="N38" i="19"/>
  <c r="N28" i="19"/>
  <c r="AL18" i="19"/>
  <c r="N8" i="19"/>
  <c r="AL48" i="19"/>
  <c r="T48" i="19"/>
  <c r="AF38" i="19"/>
  <c r="AF28" i="19"/>
  <c r="AF18" i="19"/>
  <c r="AL8" i="19"/>
  <c r="T28" i="19"/>
  <c r="AL28" i="19"/>
  <c r="T8" i="19"/>
  <c r="T38" i="19"/>
  <c r="AF8" i="19"/>
  <c r="N18" i="19"/>
  <c r="Z28" i="19"/>
  <c r="AL38" i="19"/>
  <c r="Z38" i="19"/>
  <c r="Z18" i="19"/>
  <c r="AF48" i="19"/>
  <c r="T18" i="19"/>
  <c r="Y20" i="19"/>
  <c r="AE10" i="19"/>
  <c r="S10" i="19"/>
  <c r="M10" i="19"/>
  <c r="AE30" i="19"/>
  <c r="AK20" i="19"/>
  <c r="M30" i="19"/>
  <c r="Y30" i="19"/>
  <c r="S30" i="19"/>
  <c r="AE50" i="19"/>
  <c r="S20" i="19"/>
  <c r="Y40" i="19"/>
  <c r="AK30" i="19"/>
  <c r="AE40" i="19"/>
  <c r="AK40" i="19"/>
  <c r="AK50" i="19"/>
  <c r="Y50" i="19"/>
  <c r="Y10" i="19"/>
  <c r="S40" i="19"/>
  <c r="M40" i="19"/>
  <c r="M50" i="19"/>
  <c r="M20" i="19"/>
  <c r="S50" i="19"/>
  <c r="AK10" i="19"/>
  <c r="AM8" i="19" l="1"/>
  <c r="AG48" i="19"/>
  <c r="AG38" i="19"/>
  <c r="U28" i="19"/>
  <c r="AA18" i="19"/>
  <c r="U48" i="19"/>
  <c r="AG28" i="19"/>
  <c r="O28" i="19"/>
  <c r="O8" i="19"/>
  <c r="AA48" i="19"/>
  <c r="AM48" i="19"/>
  <c r="U38" i="19"/>
  <c r="AM28" i="19"/>
  <c r="AM18" i="19"/>
  <c r="O38" i="19"/>
  <c r="AA38" i="19"/>
  <c r="AG18" i="19"/>
  <c r="AA8" i="19"/>
  <c r="AA28" i="19"/>
  <c r="O18" i="19"/>
  <c r="U8" i="19"/>
  <c r="AM38" i="19"/>
  <c r="O48" i="19"/>
  <c r="AG8" i="19"/>
  <c r="U18" i="19"/>
  <c r="O30" i="19"/>
  <c r="AA10" i="19"/>
  <c r="AG10" i="19"/>
  <c r="O50" i="19"/>
  <c r="AA30" i="19"/>
  <c r="AM50" i="19"/>
  <c r="U40" i="19"/>
  <c r="AA40" i="19"/>
  <c r="AA20" i="19"/>
  <c r="AM10" i="19"/>
  <c r="U10" i="19"/>
  <c r="AG50" i="19"/>
  <c r="U50" i="19"/>
  <c r="AM40" i="19"/>
  <c r="AA50" i="19"/>
  <c r="O40" i="19"/>
  <c r="AG20" i="19"/>
  <c r="U20" i="19"/>
  <c r="AG40" i="19"/>
  <c r="AG30" i="19"/>
  <c r="O20" i="19"/>
  <c r="O10" i="19"/>
  <c r="U30" i="19"/>
  <c r="AM30" i="19"/>
  <c r="AM20" i="19"/>
  <c r="T50" i="19"/>
  <c r="Z10" i="19"/>
  <c r="AL10" i="19"/>
  <c r="AF10" i="19"/>
  <c r="AL50" i="19"/>
  <c r="AL40" i="19"/>
  <c r="Z30" i="19"/>
  <c r="Z40" i="19"/>
  <c r="AL30" i="19"/>
  <c r="AF20" i="19"/>
  <c r="N20" i="19"/>
  <c r="AF40" i="19"/>
  <c r="AF30" i="19"/>
  <c r="N50" i="19"/>
  <c r="Z20" i="19"/>
  <c r="AF50" i="19"/>
  <c r="T10" i="19"/>
  <c r="T40" i="19"/>
  <c r="N10" i="19"/>
  <c r="Z50" i="19"/>
  <c r="T20" i="19"/>
  <c r="N30" i="19"/>
  <c r="N40" i="19"/>
  <c r="T30" i="19"/>
  <c r="AL20" i="19"/>
</calcChain>
</file>

<file path=xl/comments1.xml><?xml version="1.0" encoding="utf-8"?>
<comments xmlns="http://schemas.openxmlformats.org/spreadsheetml/2006/main">
  <authors>
    <author>Ing. Andru</author>
    <author>User</author>
  </authors>
  <commentList>
    <comment ref="D6" authorId="0" shapeId="0">
      <text>
        <r>
          <rPr>
            <b/>
            <sz val="9"/>
            <color indexed="81"/>
            <rFont val="Tahoma"/>
            <family val="2"/>
          </rPr>
          <t>Traer la Información de la caracterización del proceso.</t>
        </r>
      </text>
    </comment>
    <comment ref="D7" authorId="0" shapeId="0">
      <text>
        <r>
          <rPr>
            <b/>
            <sz val="9"/>
            <color indexed="81"/>
            <rFont val="Tahoma"/>
            <family val="2"/>
          </rPr>
          <t>Traer la Información de la caracterización del proceso.</t>
        </r>
        <r>
          <rPr>
            <sz val="9"/>
            <color indexed="81"/>
            <rFont val="Tahoma"/>
            <family val="2"/>
          </rPr>
          <t xml:space="preserve">
</t>
        </r>
      </text>
    </comment>
    <comment ref="A9" authorId="0" shapeId="0">
      <text>
        <r>
          <rPr>
            <b/>
            <sz val="9"/>
            <color indexed="81"/>
            <rFont val="Tahoma"/>
            <family val="2"/>
          </rPr>
          <t>Número consecutivo de los riesgos que se identifican.</t>
        </r>
        <r>
          <rPr>
            <sz val="9"/>
            <color indexed="81"/>
            <rFont val="Tahoma"/>
            <family val="2"/>
          </rPr>
          <t xml:space="preserve">
</t>
        </r>
      </text>
    </comment>
    <comment ref="B9" authorId="0" shapeId="0">
      <text>
        <r>
          <rPr>
            <b/>
            <sz val="9"/>
            <color indexed="81"/>
            <rFont val="Tahoma"/>
            <family val="2"/>
          </rPr>
          <t>Consulte su matriz de activos de información.</t>
        </r>
      </text>
    </comment>
    <comment ref="C9" authorId="1" shapeId="0">
      <text>
        <r>
          <rPr>
            <b/>
            <sz val="9"/>
            <color indexed="81"/>
            <rFont val="Tahoma"/>
            <family val="2"/>
          </rPr>
          <t>Consulte su matriz de activos de información.</t>
        </r>
      </text>
    </comment>
    <comment ref="E9" authorId="0" shapeId="0">
      <text>
        <r>
          <rPr>
            <b/>
            <sz val="9"/>
            <color indexed="81"/>
            <rFont val="Tahoma"/>
            <family val="2"/>
          </rPr>
          <t>En el manual de gestión de riesgos de seguridad de la información, encontrará sugerencias de AMENAZAS que puede usar o ajustar según se requiera.</t>
        </r>
      </text>
    </comment>
    <comment ref="F9" authorId="0" shapeId="0">
      <text>
        <r>
          <rPr>
            <b/>
            <sz val="9"/>
            <color indexed="81"/>
            <rFont val="Tahoma"/>
            <family val="2"/>
          </rPr>
          <t>En el manual de gestión de riesgos de seguridad de la información, encontrará sugerencias de VULNERABILIDADES que puede usar o ajustar según se requiera.</t>
        </r>
        <r>
          <rPr>
            <sz val="9"/>
            <color indexed="81"/>
            <rFont val="Tahoma"/>
            <family val="2"/>
          </rPr>
          <t xml:space="preserve">
</t>
        </r>
      </text>
    </comment>
    <comment ref="T9" authorId="0" shapeId="0">
      <text>
        <r>
          <rPr>
            <b/>
            <sz val="9"/>
            <color indexed="81"/>
            <rFont val="Tahoma"/>
            <family val="2"/>
          </rPr>
          <t>Este campo es automático y se diligencia al seleccionar el tipo de control (Columna T)</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<sst xmlns="http://schemas.openxmlformats.org/spreadsheetml/2006/main" count="697" uniqueCount="352">
  <si>
    <t xml:space="preserve">Referencia </t>
  </si>
  <si>
    <t>Descripción del Riesgo</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</si>
  <si>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</si>
  <si>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</si>
  <si>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</si>
  <si>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</si>
  <si>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</si>
  <si>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</si>
  <si>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</si>
  <si>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</si>
  <si>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</si>
  <si>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</si>
  <si>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</si>
  <si>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</si>
  <si>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</si>
  <si>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</si>
  <si>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</si>
  <si>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</si>
  <si>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</si>
  <si>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</si>
  <si>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</si>
  <si>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</si>
  <si>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</si>
  <si>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</si>
  <si>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</si>
  <si>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</si>
  <si>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</si>
  <si>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</si>
  <si>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</si>
  <si>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</si>
  <si>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</si>
  <si>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</si>
  <si>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</si>
  <si>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</si>
  <si>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</si>
  <si>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</si>
  <si>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</si>
  <si>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</si>
  <si>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</si>
  <si>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</si>
  <si>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</si>
  <si>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</si>
  <si>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</si>
  <si>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</si>
  <si>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</si>
  <si>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</si>
  <si>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</si>
  <si>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</si>
  <si>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</si>
  <si>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</si>
  <si>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</si>
  <si>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</si>
  <si>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</si>
  <si>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</si>
  <si>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</si>
  <si>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</si>
  <si>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</si>
  <si>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</si>
  <si>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</si>
  <si>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</si>
  <si>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</si>
  <si>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</si>
  <si>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</si>
  <si>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</si>
  <si>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</si>
  <si>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</si>
  <si>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</si>
  <si>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</si>
  <si>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</si>
  <si>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</si>
  <si>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</si>
  <si>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</si>
  <si>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</si>
  <si>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</si>
  <si>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</si>
  <si>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</si>
  <si>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</si>
  <si>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</si>
  <si>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</si>
  <si>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</si>
  <si>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</si>
  <si>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</si>
  <si>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</si>
  <si>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</si>
  <si>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</si>
  <si>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</si>
  <si>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</si>
  <si>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</si>
  <si>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</si>
  <si>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</si>
  <si>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</si>
  <si>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</si>
  <si>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</si>
  <si>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</si>
  <si>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</si>
  <si>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</si>
  <si>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</si>
  <si>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</si>
  <si>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</si>
  <si>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</si>
  <si>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</si>
  <si>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</si>
  <si>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</si>
  <si>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</si>
  <si>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</si>
  <si>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</si>
  <si>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</si>
  <si>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</si>
  <si>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</si>
  <si>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</si>
  <si>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</si>
  <si>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</si>
  <si>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</si>
  <si>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</si>
  <si>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</si>
  <si>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</si>
  <si>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</si>
  <si>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</si>
  <si>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</si>
  <si>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</si>
  <si>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</si>
  <si>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</si>
  <si>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</si>
  <si>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</si>
  <si>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</si>
  <si>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</si>
  <si>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</si>
  <si>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</si>
  <si>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</si>
  <si>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</si>
  <si>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</si>
  <si>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</si>
  <si>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</si>
  <si>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</si>
  <si>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</si>
  <si>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</si>
  <si>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</si>
  <si>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</si>
  <si>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</si>
  <si>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</si>
  <si>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</si>
  <si>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</si>
  <si>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</si>
  <si>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</si>
  <si>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</si>
  <si>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</si>
  <si>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</si>
  <si>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</si>
  <si>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</si>
  <si>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</si>
  <si>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</si>
  <si>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</si>
  <si>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Criterios de Impacto</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</si>
  <si>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</si>
  <si>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</si>
  <si>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</si>
  <si>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</si>
  <si>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</si>
  <si>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</si>
  <si>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</si>
  <si>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</si>
  <si>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r>
      <t xml:space="preserve">Plan de Acción
</t>
    </r>
    <r>
      <rPr>
        <sz val="9"/>
        <rFont val="Arial Narrow"/>
        <family val="2"/>
      </rPr>
      <t xml:space="preserve">Responsable, fecha implementación, fecha seguimiento, seguimiento. </t>
    </r>
  </si>
  <si>
    <t>Proceso</t>
  </si>
  <si>
    <t>Objetivo</t>
  </si>
  <si>
    <t>Alcance</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</si>
  <si>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</si>
  <si>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</si>
  <si>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</si>
  <si>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</si>
  <si>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</si>
  <si>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</si>
  <si>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</si>
  <si>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</si>
  <si>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Dependencia:</t>
  </si>
  <si>
    <t>Procesos</t>
  </si>
  <si>
    <t>Dependencias</t>
  </si>
  <si>
    <t>Despacho</t>
  </si>
  <si>
    <t>Subsecretaría de la Políticas de Igualdad</t>
  </si>
  <si>
    <t>Subsecretaría de Fortalecimiento de Capacidades y Oportunidades</t>
  </si>
  <si>
    <t>Subsecretaría de Gestión Corporativa</t>
  </si>
  <si>
    <t>AMENAZA (Causa Inmediata)</t>
  </si>
  <si>
    <t>VULNERABILIDAD (Causa Raíz)</t>
  </si>
  <si>
    <t>TIPO DE ACTIVO</t>
  </si>
  <si>
    <t>Tipo de Activo</t>
  </si>
  <si>
    <t>Información</t>
  </si>
  <si>
    <t>Hardware</t>
  </si>
  <si>
    <t>Software</t>
  </si>
  <si>
    <t>Servicios</t>
  </si>
  <si>
    <t>Recurso Humano</t>
  </si>
  <si>
    <t>BD Personales</t>
  </si>
  <si>
    <t>Infraestructura Crítica Cibernética</t>
  </si>
  <si>
    <t>Tipo de Riesgo</t>
  </si>
  <si>
    <t>1. Posibilidad de pérdida de Confidencialidad</t>
  </si>
  <si>
    <t>2. Posibilidad de pérdida de Integridad</t>
  </si>
  <si>
    <t>3. Posibilidad de pérdida de Disponibilidad</t>
  </si>
  <si>
    <t>1. Posibilidad de pérdida de confidencialidad, divulgación no autorizada o mal uso de la información de datos personales.</t>
  </si>
  <si>
    <t>2. Posibilidad de pérdida de integridad, alteración, o modificación de la Información de datos personales.</t>
  </si>
  <si>
    <t>3. Posibilidad de afectación de la disponibilidad de la plataforma tecnológica o aplicativos que gestionan datos personales.</t>
  </si>
  <si>
    <t>4. Posibilidad de sanciones por incumplimiento de las directrices o normativas frente al tratamiento de los datos personales.</t>
  </si>
  <si>
    <t>TIPOS DE RIESGOS</t>
  </si>
  <si>
    <t>Etiquetas de fila</t>
  </si>
  <si>
    <t>Total general</t>
  </si>
  <si>
    <t>***Riesgos de Seguridad de la Información</t>
  </si>
  <si>
    <t>***Riesgos de Datos Personales</t>
  </si>
  <si>
    <t>Tabla Atributos para el diseño del control</t>
  </si>
  <si>
    <t>La actividad que conlleva el riesgo se ejecuta como máximos 5 veces por año</t>
  </si>
  <si>
    <t>La actividad que conlleva el riesgo se ejecuta de 6 a 24 veces por año</t>
  </si>
  <si>
    <t>La actividad que conlleva el riesgo se ejecuta de 25 a 150 veces por año</t>
  </si>
  <si>
    <t>La actividad que conlleva el riesgo se ejecuta mínimo 150 veces al año y máximo 300 veces por año</t>
  </si>
  <si>
    <t>La actividad que conlleva el riesgo se ejecuta más de 301 veces por año</t>
  </si>
  <si>
    <t>Sin Iniciar</t>
  </si>
  <si>
    <t>1. Ejecucion y Administracion de procesos</t>
  </si>
  <si>
    <t>2. Fraude Externo</t>
  </si>
  <si>
    <t>3. Fraude Interno</t>
  </si>
  <si>
    <t>4. Fallas Tecnologicas</t>
  </si>
  <si>
    <t>5. Relaciones Laborales</t>
  </si>
  <si>
    <t>6. Usuarios, productos y practicas , organizacionales</t>
  </si>
  <si>
    <t>7. Daños Activos Fisicos</t>
  </si>
  <si>
    <t>Dependencia</t>
  </si>
  <si>
    <t>Seleccione de la lista desplegable el nombre del proceso al cual se le identificarán y valorarán los riesgos.</t>
  </si>
  <si>
    <t>Seleccione de la lista desplegable el nombre de la dependencia al cual se le identificarán y valorarán los riesgos.</t>
  </si>
  <si>
    <t>Permite definir unl consecutivo de riesgos.</t>
  </si>
  <si>
    <t xml:space="preserve">Consulte la matriz de activos de su proceso o dependencia según corresponda, los activos se van a agrupar por tipo de activo (Información, Hardware, Software, Servicio, Bases de Datos Personales, Recurso Humano, Infraestructura Crítica Cibernética) para identificar los riesgos, amenazas y vulnerabilidades. En este campo en la lista desplegable seleccione el tipo de activo y consulte en la matriz de activos a qué hace referencia para definir la descripción del riesgo. </t>
  </si>
  <si>
    <t>Analice las consecuencias que puede ocasionar a la Entidad la materialización del riesgo.</t>
  </si>
  <si>
    <t>Consolida o resume los análisis sobre impacto + causa inmediata + causa raíz, permitiendo contar con una redacción clara y concreta del riesgo identificado. Tenga en cuenta que la descripción inicia con POSIBILIDAD DE + Tipo de Riesgo para la entidad + “AMENAZA - Causa Inmediata (Cómo)” + “VULNERABILIDADES - Causa Raíz (Por qué)”</t>
  </si>
  <si>
    <t>Permite identificar el número de controles que se van a aplicar.</t>
  </si>
  <si>
    <t>Este campo NO se diligencia, depende de lo que seleccione en la columna T(Tipo).</t>
  </si>
  <si>
    <t xml:space="preserve">Utilice la lista desplegable que se encuentra parametrizada, le aparecerán las opciones: 1) Preventivo, 2) Detectivo, 3) Correctivo, seleccione según corresponda. </t>
  </si>
  <si>
    <t>Utilice la lista desplegable que se encuentra parametrizada, le aparecerán las opciones: 1) Automático, 2) Manual, seleccione según corresponda.</t>
  </si>
  <si>
    <t xml:space="preserve">Este campo NO se diligencia, la matriz automáticamente hará el cálculo para el control analizado (Columna V) </t>
  </si>
  <si>
    <t>Utilice la lista desplegable que se encuentra parametrizada, le aparecerán las opciones: 1) Documentado, 2) Sin documentar.</t>
  </si>
  <si>
    <t>Utilice la lista desplegable que se encuentra parametrizada, le aparecerán las opciones: 1) Continua, 2) Aleatoria.</t>
  </si>
  <si>
    <t>Utilice la lista desplegable que se encuentra parametrizada, le aparecerán las opciones: 1) Con Registro, 2) Sin Registro.</t>
  </si>
  <si>
    <t>Evaluación del Nivel de Riesgo - Nivel de Riesgo Residual
•	Probabilidad Residual (Z)
•	Probabilidad Residual Final (AA)
•	% (AB)
•	Impacto Residual Final (AC)
•	% (AD)
•	Zona de Riesgo Final (AE)</t>
  </si>
  <si>
    <t>Estos campos NO se diligencian, la matriz automáticamente hará el cálculo, acorde con el control o controles definidos con sus atributos analizados, lo que permitirá establecer el nivel de riesgo inherente (Columnas Z y AB,  AC - AE).</t>
  </si>
  <si>
    <t>Utilice la lista desplegable que se encuentra parametrizada, le aparecerán las opciones: 1) Aceptar, 2) Evitar, 3) Reducir (compartir), 4) 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</si>
  <si>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tercerización), indicando información relevante. </t>
  </si>
  <si>
    <t>Utilice la lista desplegable que se encuentra parametrizada, le aparecerán las opciones: 1) Finalizado, 2) En curso, 3) Sin Iniciar, la selección en este caso dependerá de las acciones del plan que se hayan establecido en cada caso.</t>
  </si>
  <si>
    <t>OFICINA DE CONTROL INTERNO</t>
  </si>
  <si>
    <t>OFICINA ASESORA DE COMUNICACIONES</t>
  </si>
  <si>
    <t>OFICINA ASESORA DE PLANEACIÓN</t>
  </si>
  <si>
    <t>OFICINA DE TECNOLOGÍAS DE LA INFORMACIÓN</t>
  </si>
  <si>
    <t>DIRECCIÓN DE FOMENTO</t>
  </si>
  <si>
    <t>DIRECCIÓN DE ASUNTOS LOCALES Y PARTICIPACIÓN</t>
  </si>
  <si>
    <t>DIRECCIÓN DE PERSONAS JURÍDICAS</t>
  </si>
  <si>
    <t>GESTIÓN DOCUMENTAL</t>
  </si>
  <si>
    <t xml:space="preserve">GESTIÓN DEL DIRECCIONAMIENTO ESTRATÉGICO </t>
  </si>
  <si>
    <t>GESTIÓN  JURÍDICA</t>
  </si>
  <si>
    <t xml:space="preserve">GESTIÓN ADMINISTRATIVA </t>
  </si>
  <si>
    <t>GESTIÓN CONTRACTUAL</t>
  </si>
  <si>
    <t xml:space="preserve">GESTIÓN DE INVESTIGACIONES, OBSERVACIONES Y ANALÍTICA DE LA CULTURA, LA RECREACIÓN Y EL DEPORTE </t>
  </si>
  <si>
    <t xml:space="preserve">GESTIÓN DE LA APROPIACIÓN DE LA INFRAESTRUCTURA Y PATRIMONIO CULTURAL  
</t>
  </si>
  <si>
    <t xml:space="preserve">GESTIÓN DE LA COMUNICACIÓN ESTRATÉGICA  </t>
  </si>
  <si>
    <t xml:space="preserve">GESTIÓN DE LA CULTURA CIUDADANA  </t>
  </si>
  <si>
    <t xml:space="preserve">GESTIÓN DE LA EVALUACIÓN INDEPENDIENTE </t>
  </si>
  <si>
    <t xml:space="preserve">GESTIÓN DE LA FORMULACIÓN Y SEGUIMIENTO DE POLÍTICA PÚBLICA </t>
  </si>
  <si>
    <t xml:space="preserve">GESTIÓN DE LA MEJORA CONTINUA </t>
  </si>
  <si>
    <t xml:space="preserve">GESTIÓN DE LA PARTICIPACIÓN CIUDADANA </t>
  </si>
  <si>
    <t xml:space="preserve">GESTIÓN DE LA PROMOCIÓN DE AGENTES Y PRÁCTICAS CULTURALES Y RECREODEPORTIVAS  </t>
  </si>
  <si>
    <t xml:space="preserve">GESTIÓN DE TALENTO HUMANO </t>
  </si>
  <si>
    <t xml:space="preserve">GESTIÓN DE TECNOLOGÍAS DE LA INFORMACIÓN Y LAS COMUNICACIONES  </t>
  </si>
  <si>
    <t>GESTIÓN DEL CONOCIMIENTO Y LA INNOVACIÒN</t>
  </si>
  <si>
    <t>GESTIÓN DEL CONTROL DISCIPLINARIO INTERNO</t>
  </si>
  <si>
    <t xml:space="preserve">GESTIÓN DEL RELACIONAMIENTO CON LA CIUDADANÍA 
</t>
  </si>
  <si>
    <t xml:space="preserve">GESTIÓN FINANCIERA  </t>
  </si>
  <si>
    <t>GESTIÒN DE LECTURA, ESCRITURA Y ORALIDAD</t>
  </si>
  <si>
    <t>CONTRATOS</t>
  </si>
  <si>
    <t>DESPACHO</t>
  </si>
  <si>
    <t>DIRECCIÓN  DE LECTURA Y BIBLIOTECAS</t>
  </si>
  <si>
    <t>DIRECCIÓN DE ARTE, CULTURA Y PATRIMONIO</t>
  </si>
  <si>
    <t>DIRECCIÓN DE ECONOMIA ESTUDIOS Y POLÍTICA</t>
  </si>
  <si>
    <t>DIRECCIÓN DE GESTIÓN CORPORATIVA Y RELACIÓN CON EL CIUDADANO</t>
  </si>
  <si>
    <t>DIRECCIÓN DE OBSERVATIORIO Y GESTIÓN DEL CONOCIMIENTO CULTURAL</t>
  </si>
  <si>
    <t>DIRECCIÓN DE REDES A ACCIÓN COLECTIVA</t>
  </si>
  <si>
    <t>DIRECCIÓN DE TRANSFORMACIONES CULTURALES</t>
  </si>
  <si>
    <t>FINANCIERA</t>
  </si>
  <si>
    <t>OFICINA DE CONTROL DISCIPLINARIO INTERNO</t>
  </si>
  <si>
    <t>OFICINA JURÍDICA</t>
  </si>
  <si>
    <t>SERVICIOS ADMINISTRTAIVOS</t>
  </si>
  <si>
    <t>SUBDIRECCIÓN DE GESTIÓN CULTURAL Y ARTISTICA</t>
  </si>
  <si>
    <t>SUBDIRECCIÓN DE INFRAESTRUCTURA Y PATRIMONIO CULTURAL</t>
  </si>
  <si>
    <t>SUBSECRETARÍA DE GOBERNANZA</t>
  </si>
  <si>
    <t xml:space="preserve">SUBSECRETARÍA DISTRITAL DE CULTURA CIUDADANA Y GESTIÓN DEL CONOCIMIENTO </t>
  </si>
  <si>
    <t>TALENTO HUMANO</t>
  </si>
  <si>
    <t>NOMBRE DEL ACTIVO</t>
  </si>
  <si>
    <t>Diligencie el objetivo del proceso o dependencia. Consulte la caracterización del proceso o dependencia en MIPG</t>
  </si>
  <si>
    <t>Diligencie el alcance del proceso o dependencia. Consulte la caracterización del proceso o dependencia en MIPG</t>
  </si>
  <si>
    <r>
      <t xml:space="preserve">Circunstancias bajo las cuales se presenta el riesgo, es la situación más evidente frente al riesgo, redacte de la forma más concreta posible. 
En el manual de gestión de riesgos de seguridad de la información, consulte el numeral </t>
    </r>
    <r>
      <rPr>
        <b/>
        <sz val="9"/>
        <rFont val="Arial Narrow"/>
        <family val="2"/>
      </rPr>
      <t>10.3</t>
    </r>
    <r>
      <rPr>
        <sz val="9"/>
        <rFont val="Arial Narrow"/>
        <family val="2"/>
      </rPr>
      <t xml:space="preserve"> </t>
    </r>
    <r>
      <rPr>
        <b/>
        <sz val="9"/>
        <rFont val="Arial Narrow"/>
        <family val="2"/>
      </rPr>
      <t>Amenazas</t>
    </r>
    <r>
      <rPr>
        <sz val="9"/>
        <rFont val="Arial Narrow"/>
        <family val="2"/>
      </rPr>
      <t>, verifique en la tabla de Amenazas si hay algunas de las amenazas comunes que le aplique, o adáptela de acuerdo a su necesidad, recuerde que la información allí consignada es una guía de referencia.</t>
    </r>
  </si>
  <si>
    <r>
      <t>Causa principal o básica, corresponde a las razones por la cuales se puede presentar el riesgo por la falta de un control, redacte de la forma más concreta posible.
En el manual de gestión de riesgos de seguridad de la información, consulte el numeral</t>
    </r>
    <r>
      <rPr>
        <b/>
        <sz val="9"/>
        <rFont val="Arial Narrow"/>
        <family val="2"/>
      </rPr>
      <t xml:space="preserve"> 10.2 Vulnerabilidades</t>
    </r>
    <r>
      <rPr>
        <sz val="9"/>
        <rFont val="Arial Narrow"/>
        <family val="2"/>
      </rPr>
      <t>, verifique en la tabla de Vulnerabilidades si hay algunas de las vulnerabilidades comunes que le aplique, o adáptela de acuerdo a su necesidad, recuerde que la información allí consignada es una guía de referencia.</t>
    </r>
  </si>
  <si>
    <r>
      <t xml:space="preserve">Seleccione de la Lista desplegable el tipo de riesgo, hay 3 riesgos asociados a seguridad de la información y 4 asociados a bases de datos personales.
En el manual de gestión de riesgos de seguridad de la información, consulte el numeral </t>
    </r>
    <r>
      <rPr>
        <b/>
        <sz val="9"/>
        <rFont val="Arial Narrow"/>
        <family val="2"/>
      </rPr>
      <t>10.1 Riesgos de Seguridad de la Información y Bases de Datos Personales.</t>
    </r>
  </si>
  <si>
    <r>
      <t xml:space="preserve">Defina el # de veces que se ejecuta la actividad durante el año, (Recuerde la probabilidad u ocurrencia del riesgo se define como el No. de veces que se pasa por el punto de riesgo en el periodo de 1 año). La matriz automáticamente hará el cálculo para el nivel de probabilidad inherente (Columnas J-K)
En el manual de gestión de riesgos de seguridad de la información, consulte el numeral </t>
    </r>
    <r>
      <rPr>
        <b/>
        <sz val="9"/>
        <rFont val="Arial Narrow"/>
        <family val="2"/>
      </rPr>
      <t>12.1 Probabilidad</t>
    </r>
    <r>
      <rPr>
        <sz val="9"/>
        <rFont val="Arial Narrow"/>
        <family val="2"/>
      </rPr>
      <t>, en el cual se encuentra la tabla Análisis de Probabilidad, con la descripción de cada uno, de igual forma también se encuentra en el instrumento en la hoja “Tabla Probabilidad”.</t>
    </r>
  </si>
  <si>
    <r>
      <t xml:space="preserve">Utilice la lista desplegable que se encuentra parametrizada, le aparecerán las opciones de la tabla de Impacto en la hoja “Tabla Impacto” del instrumento. La matriz automáticamente hará el cálculo para el nivel de impacto inherente (Columnas N-P).
En el manual de gestión de riesgos de seguridad de la información, consulte el numeral </t>
    </r>
    <r>
      <rPr>
        <b/>
        <sz val="9"/>
        <rFont val="Arial Narrow"/>
        <family val="2"/>
      </rPr>
      <t>12.2 Impacto</t>
    </r>
    <r>
      <rPr>
        <sz val="9"/>
        <rFont val="Arial Narrow"/>
        <family val="2"/>
      </rPr>
      <t>, en el cual se encuentra la tabla Análisis de Impacto.</t>
    </r>
  </si>
  <si>
    <t>Formato Mapa Riesgos SCRD 2023</t>
  </si>
  <si>
    <t xml:space="preserve">Utilice la lista desplegable que se encuentra parametrizada, le aparecerán las opciones: 1) Ejecución y Administración de procesos, 2) Fraude Externo, 3) Fraude Interno, 4) Fallas Tecnológicas, 5) Relaciones Laborales, 6) Usuarios, productos y practicas organizacionales, 7) Daños Activos Físicos, seleccione la opción que corresponda.
</t>
  </si>
  <si>
    <t>Nombre del Activo</t>
  </si>
  <si>
    <t>Consulte la matriz de activos de su proceso o dependencia según corresponda,   y copie en nombre del activo identificado para iniiar con la identificación de sus riesgos.</t>
  </si>
  <si>
    <t>Promover la lectura, escritura y oralidad en Bogotá a través de la definición y seguimiento a la implementación de estrategias de circulación,  onocimiento, valoración social de la lectura, territorialización, participación y cultura digital para atender las necesidades de las comunidades y desarrollar propuestas para el ejercicio de sus derechos culturales y el acceso a la información y al conocimiento.</t>
  </si>
  <si>
    <t>Inicia con la elaboración del plan de acción de la Dirección de Lectura y Bibliotecas y finaliza con la determinación e implementación de acciones correctivas, preventivas y/o de mejora de las actividades propuestas.</t>
  </si>
  <si>
    <t>Modificación o eliminación de información por acceso indebido de personas no autorizadas</t>
  </si>
  <si>
    <t>El sistema Orfeo se encuentra fuera de servicio</t>
  </si>
  <si>
    <t xml:space="preserve">Falta de aplicación de roles para el acceso de información </t>
  </si>
  <si>
    <t>Actas en PDF</t>
  </si>
  <si>
    <t>Roles de usuario establecidos para el nivel de acceso a la información</t>
  </si>
  <si>
    <t xml:space="preserve">Posibilidad de perdida de integridad ocasionada por acceso indebido de personas no autorizadas
</t>
  </si>
  <si>
    <t xml:space="preserve">Posibilidad de perdida de integridad ocasionada por acceso indebido de personas no autorizadas </t>
  </si>
  <si>
    <t>Bases de datos</t>
  </si>
  <si>
    <t>Portales, intranet y micrositios</t>
  </si>
  <si>
    <t>Redes sociales</t>
  </si>
  <si>
    <t>Las cuentas de las redes sociales no son accesibles por sustracción de claves</t>
  </si>
  <si>
    <t>Acceso denegado a las cuentas de redes sociales por deficiencia de administracion de las claves de redes sociales</t>
  </si>
  <si>
    <t>Para nuevos contenidos se ajustan los permisos de acuerdo a los roles ya establecidos en la plataforma</t>
  </si>
  <si>
    <t>El sistema Alfresco se encuentra fuera de servicio</t>
  </si>
  <si>
    <t>Fallo de la infraestructura tecnológica en el datacenter de BibloRed</t>
  </si>
  <si>
    <t>Indisponibilidad de los aplicativos o sistemas de Información</t>
  </si>
  <si>
    <t>Garantizar el acceso unicamente a personal autorizado al Centro de Computo y cuartos de cableado</t>
  </si>
  <si>
    <t>Fallas en el servidor de Orfeo
Fallas en el servidor de Alfresco</t>
  </si>
  <si>
    <t xml:space="preserve">Posibilidad de perdida de disponibilidad ocasionada por fallas en los servidores </t>
  </si>
  <si>
    <t>Indisponibilidad de los servidores</t>
  </si>
  <si>
    <t xml:space="preserve">Indisponibilidad de la infraestructura tecnológica por fallas en el Datacenter
Fallas Técnicas de Hardware
Error en la manipulación de la Infraestructura Tecnológica.
Falta de mantenimiento a la infraestructura de: cableado, racks, aire acondicionado, sistemas de detección de incendios, UPS y planta eléctrica
</t>
  </si>
  <si>
    <t>ESTADISTICAS DE LA RED DISTRITAL DE BIBLIOTECAS PÚBLICAS DE BOGOTÁ - BIBLORED
RED DISTRITAL DE BIBLIOTECAS PÚBLICAS DE BOGOTÁ - BIBLORED
Actas</t>
  </si>
  <si>
    <t>Verificación semestral por parte del profesional designado por la DLB, del mantenimiento de los servidores en donde se encuentran los aplicativos Orfeo y Alfresco, solicitando la evidencia del mantenimiento realizado</t>
  </si>
  <si>
    <t>Verificación mensual por parte del profesional designado por la DLB, del backup de información de los servidores en donde se encuentran los aplicativos Orfeo y Alfresco, solicitando la evidencia del mantenimiento realizado</t>
  </si>
  <si>
    <t>RED DISTRITAL DE BIBLIOTECAS PÚBLICAS DE BOGOTÁ - BIBLORED</t>
  </si>
  <si>
    <t>Posibilidad de perdida de disponibilidad ocasionada por fallas tecnológicas en los servidores</t>
  </si>
  <si>
    <t>Verificación mensual por parte del profesional designado por la DLB, de la ejecución oportuna de los mantenimientos de la infraestructura tecnológica de BibloRed, solicitando la evidencia de los mantenimientos realizados</t>
  </si>
  <si>
    <t>Verificación y actualización anual del Plan de recuperación ante desastres (DRP) documentado y en producción,  por parte del profesional designado por la DLB</t>
  </si>
  <si>
    <t>Ausencia de mantenimientos preventivos de los aplicativos</t>
  </si>
  <si>
    <t>Falta de mantenimiento del software</t>
  </si>
  <si>
    <t>Posibilidad de perdida de disponibilidad del software por falta de mantenimiento ocasionando la denegación del servicio</t>
  </si>
  <si>
    <t>Interrupciones o denegación del aplicativo</t>
  </si>
  <si>
    <t>Errores humanos al no actualizar la versión del software</t>
  </si>
  <si>
    <t>Información desactualizada</t>
  </si>
  <si>
    <t>Revisión de información mensual del portal y micrositios por parte del funcionario designado por la DLB</t>
  </si>
  <si>
    <t>Cambio de contraseñas seguras de manera semestral por parte del profesional Community Manager de acuerdo a los lineamientos establecidos en las políticas de seguridad y privacidad de seguridad de la información</t>
  </si>
  <si>
    <t xml:space="preserve">Modificación o eliminación involuntaria de información </t>
  </si>
  <si>
    <t>Perdida de la información registrada</t>
  </si>
  <si>
    <t xml:space="preserve">Posibilidad de perdida de integridad de la información registrada por modificación o alteración </t>
  </si>
  <si>
    <t>Realizar copia de seguridad diaria en un lugar externo al datacenter por parte del funcionario designado por la DLB</t>
  </si>
  <si>
    <t>Posibilidad de indisponibilidad de la base de datos por fallas tecnológicas en los servidores</t>
  </si>
  <si>
    <t>Verificación mensual por parte del profesional designado por la DLB, del backup de los servidores e infraestructura, solicitando la evidencia del mantenimiento realizado</t>
  </si>
  <si>
    <t>Verificación mensual por parte del profesional designado por la DLB, de la renovación oportuna de las licencias de software relacionadas con la infraestructura tecnológica de BibloRed, solicitando la evidencia de las renovaciones realizadas</t>
  </si>
  <si>
    <t>Verificación semestral por parte del profesional designado por la DLB, de la actualización oportuna de los componentes de los sistemas de información y sistemas operativos relacionadas con la infraestructura tecnológica de BibloRed, solicitando la evidencia de las actualizaciones realizadas</t>
  </si>
  <si>
    <t>Fallas en el funcionamiento de los aplicativos por licenciamientos no renovados y software desactualizados</t>
  </si>
  <si>
    <t>Ausencia de renovaciones de licenciamiento y/o desactualización de sistemas operativos y componentes en los aplicativos</t>
  </si>
  <si>
    <t>Posibilidad de perdida de disponibilidad del software por falta de renovación del licenciamiento  y/o desactualización de sistemas operativos y componentes, ocasionando la denegación del servicio</t>
  </si>
  <si>
    <t>Si se evidencia una falla técnica en el acceso a los servidores, el funcionario designado por la DLB, debe solicitar a la OTI (Orfeo) o CST - Centro de Soporte Tecnológico de BibloRed (Alfresco) la revisión del aplicativo y hacer seguimiento hasta la solución del problema.</t>
  </si>
  <si>
    <t>Si se evidencia una falla técnica en el acceso a los servidores, el funcionario designado por la DLB, debe solicitar al CST - Centro de Soporte Tecnológico de BibloRed la revisión del aplicativo y hacer seguimiento hasta la solución del problema.</t>
  </si>
  <si>
    <t>Verificación mensual por parte del profesional designado por la DLB, de la ejecución oportuna de los mantenimientos de los portales y micrositios, solicitando la evidencia de los mantenimientos realizados</t>
  </si>
  <si>
    <t>Verificación mensual por parte del profesional designado por la DLB, de la renovación oportuna de los certificados de seguridad de los portales y micrositios, solicitando la evidencia de las renovaciones realizadas</t>
  </si>
  <si>
    <t>Posibilidad de perdida de disponibilidad ocasionada por errores humanos al no tener la información actualizada
Por la no renovación de los certificados de seguridad en los portales y micrositios</t>
  </si>
  <si>
    <t>Acceso denegado a las cuentas de redes sociales por pérdida de las claves de redes sociales</t>
  </si>
  <si>
    <t xml:space="preserve">Posibilidad de perdida de disponibilidad ocasionada por pérdida de acceso a las cuentas de redes sociales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</si>
</sst>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0"/>
      <name val="Times New Roman"/>
      <family val="1"/>
    </font>
    <font>
      <sz val="10"/>
      <name val="Times New Roman"/>
      <family val="1"/>
    </font>
    <font>
      <sz val="9"/>
      <color indexed="81"/>
      <name val="Tahoma"/>
      <family val="2"/>
    </font>
    <font>
      <b/>
      <sz val="9"/>
      <color indexed="81"/>
      <name val="Tahoma"/>
      <family val="2"/>
    </font>
    <font>
      <b/>
      <sz val="11"/>
      <name val="Calibri"/>
      <family val="2"/>
      <scheme val="minor"/>
    </font>
    <font>
      <sz val="11"/>
      <color rgb="FF000000"/>
      <name val="Calibri"/>
      <family val="2"/>
      <scheme val="minor"/>
    </font>
    <font>
      <sz val="11"/>
      <color theme="1"/>
      <name val="Calibri"/>
      <family val="2"/>
    </font>
    <font>
      <b/>
      <sz val="16"/>
      <color theme="1"/>
      <name val="Arial Narrow"/>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patternFill>
    </fill>
    <fill>
      <patternFill patternType="solid">
        <fgColor rgb="FF242BB9"/>
        <bgColor indexed="64"/>
      </patternFill>
    </fill>
    <fill>
      <patternFill patternType="solid">
        <fgColor indexed="65"/>
        <bgColor indexed="64"/>
      </patternFill>
    </fill>
    <fill>
      <patternFill patternType="solid">
        <fgColor theme="0"/>
        <bgColor rgb="FF008080"/>
      </patternFill>
    </fill>
    <fill>
      <patternFill patternType="solid">
        <fgColor theme="0"/>
        <bgColor rgb="FFBFBFBF"/>
      </patternFill>
    </fill>
    <fill>
      <patternFill patternType="solid">
        <fgColor theme="0"/>
        <bgColor rgb="FFA9D18E"/>
      </patternFill>
    </fill>
    <fill>
      <patternFill patternType="solid">
        <fgColor theme="7" tint="0.59999389629810485"/>
        <bgColor indexed="64"/>
      </patternFill>
    </fill>
  </fills>
  <borders count="8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9" fontId="13" fillId="0" borderId="0" applyFont="0" applyFill="0" applyBorder="0" applyAlignment="0" applyProtection="0"/>
    <xf numFmtId="0" fontId="46" fillId="0" borderId="0"/>
    <xf numFmtId="0" fontId="47" fillId="0" borderId="0"/>
    <xf numFmtId="0" fontId="5" fillId="0" borderId="0"/>
    <xf numFmtId="0" fontId="12" fillId="16" borderId="0" applyNumberFormat="0" applyBorder="0" applyAlignment="0" applyProtection="0"/>
  </cellStyleXfs>
  <cellXfs count="44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11" xfId="0" applyFont="1" applyFill="1" applyBorder="1" applyAlignment="1">
      <alignment horizontal="center" vertical="center" wrapText="1" readingOrder="1"/>
    </xf>
    <xf numFmtId="0" fontId="9" fillId="0" borderId="11" xfId="0" applyFont="1" applyBorder="1" applyAlignment="1">
      <alignment horizontal="justify" vertical="center" wrapText="1" readingOrder="1"/>
    </xf>
    <xf numFmtId="9" fontId="9" fillId="0" borderId="11"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7" fillId="0" borderId="0" xfId="0" applyFont="1" applyFill="1" applyAlignment="1">
      <alignment vertical="center"/>
    </xf>
    <xf numFmtId="0" fontId="28" fillId="0" borderId="0" xfId="0" applyFont="1" applyFill="1"/>
    <xf numFmtId="0" fontId="26" fillId="0" borderId="0" xfId="0" applyFont="1"/>
    <xf numFmtId="0" fontId="0" fillId="0" borderId="0" xfId="0" pivotButton="1"/>
    <xf numFmtId="0" fontId="11" fillId="0" borderId="0" xfId="0" applyFont="1" applyBorder="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11"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11"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11"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8" fillId="3" borderId="51" xfId="2" applyFont="1" applyFill="1" applyBorder="1" applyProtection="1"/>
    <xf numFmtId="0" fontId="48" fillId="3" borderId="52" xfId="2" applyFont="1" applyFill="1" applyBorder="1" applyProtection="1"/>
    <xf numFmtId="0" fontId="48" fillId="3" borderId="53" xfId="2" applyFont="1" applyFill="1" applyBorder="1" applyProtection="1"/>
    <xf numFmtId="0" fontId="15" fillId="3" borderId="0" xfId="0" applyFont="1" applyFill="1" applyAlignment="1">
      <alignment vertical="center"/>
    </xf>
    <xf numFmtId="0" fontId="5" fillId="3" borderId="0" xfId="0" applyFont="1" applyFill="1"/>
    <xf numFmtId="0" fontId="35" fillId="3" borderId="0" xfId="0" applyFont="1" applyFill="1"/>
    <xf numFmtId="0" fontId="36" fillId="3" borderId="34" xfId="0" applyFont="1" applyFill="1" applyBorder="1" applyAlignment="1">
      <alignment horizontal="center" vertical="center" wrapText="1" readingOrder="1"/>
    </xf>
    <xf numFmtId="0" fontId="37" fillId="3" borderId="34" xfId="0" applyFont="1" applyFill="1" applyBorder="1" applyAlignment="1">
      <alignment horizontal="justify" vertical="center" wrapText="1" readingOrder="1"/>
    </xf>
    <xf numFmtId="9" fontId="36" fillId="3" borderId="43" xfId="0" applyNumberFormat="1" applyFont="1" applyFill="1" applyBorder="1" applyAlignment="1">
      <alignment horizontal="center" vertical="center" wrapText="1" readingOrder="1"/>
    </xf>
    <xf numFmtId="0" fontId="36" fillId="3" borderId="33" xfId="0" applyFont="1" applyFill="1" applyBorder="1" applyAlignment="1">
      <alignment horizontal="center" vertical="center" wrapText="1" readingOrder="1"/>
    </xf>
    <xf numFmtId="0" fontId="37" fillId="3" borderId="33" xfId="0" applyFont="1" applyFill="1" applyBorder="1" applyAlignment="1">
      <alignment horizontal="justify" vertical="center" wrapText="1" readingOrder="1"/>
    </xf>
    <xf numFmtId="9" fontId="36" fillId="3" borderId="38" xfId="0" applyNumberFormat="1" applyFont="1" applyFill="1" applyBorder="1" applyAlignment="1">
      <alignment horizontal="center" vertical="center" wrapText="1" readingOrder="1"/>
    </xf>
    <xf numFmtId="0" fontId="37" fillId="3" borderId="38" xfId="0" applyFont="1" applyFill="1" applyBorder="1" applyAlignment="1">
      <alignment horizontal="center" vertical="center" wrapText="1" readingOrder="1"/>
    </xf>
    <xf numFmtId="0" fontId="36" fillId="3" borderId="40" xfId="0" applyFont="1" applyFill="1" applyBorder="1" applyAlignment="1">
      <alignment horizontal="center" vertical="center" wrapText="1" readingOrder="1"/>
    </xf>
    <xf numFmtId="0" fontId="37" fillId="3" borderId="40" xfId="0" applyFont="1" applyFill="1" applyBorder="1" applyAlignment="1">
      <alignment horizontal="justify" vertical="center" wrapText="1" readingOrder="1"/>
    </xf>
    <xf numFmtId="0" fontId="37" fillId="3" borderId="41" xfId="0" applyFont="1" applyFill="1" applyBorder="1" applyAlignment="1">
      <alignment horizontal="center" vertical="center" wrapText="1" readingOrder="1"/>
    </xf>
    <xf numFmtId="0" fontId="45" fillId="3" borderId="0" xfId="0" applyFont="1" applyFill="1"/>
    <xf numFmtId="0" fontId="36" fillId="15" borderId="45" xfId="0" applyFont="1" applyFill="1" applyBorder="1" applyAlignment="1">
      <alignment horizontal="center" vertical="center" wrapText="1" readingOrder="1"/>
    </xf>
    <xf numFmtId="0" fontId="36" fillId="15" borderId="46" xfId="0" applyFont="1" applyFill="1" applyBorder="1" applyAlignment="1">
      <alignment horizontal="center" vertical="center" wrapText="1" readingOrder="1"/>
    </xf>
    <xf numFmtId="0" fontId="12" fillId="3" borderId="0" xfId="0" applyFont="1" applyFill="1"/>
    <xf numFmtId="0" fontId="30" fillId="3" borderId="0" xfId="0" applyFont="1" applyFill="1" applyAlignment="1">
      <alignment horizontal="center" vertical="center" wrapText="1"/>
    </xf>
    <xf numFmtId="0" fontId="11" fillId="3" borderId="0" xfId="0" applyFont="1" applyFill="1" applyBorder="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8" fillId="3" borderId="14" xfId="2" applyFont="1" applyFill="1" applyBorder="1" applyProtection="1"/>
    <xf numFmtId="0" fontId="53" fillId="3" borderId="0" xfId="0" applyFont="1" applyFill="1" applyBorder="1" applyAlignment="1" applyProtection="1">
      <alignment horizontal="left" vertical="center" wrapText="1"/>
    </xf>
    <xf numFmtId="0" fontId="54" fillId="3" borderId="0" xfId="0" applyFont="1" applyFill="1" applyBorder="1" applyAlignment="1" applyProtection="1">
      <alignment horizontal="left" vertical="top" wrapText="1"/>
    </xf>
    <xf numFmtId="0" fontId="48" fillId="3" borderId="0" xfId="2" applyFont="1" applyFill="1" applyBorder="1" applyProtection="1"/>
    <xf numFmtId="0" fontId="48" fillId="3" borderId="15" xfId="2" applyFont="1" applyFill="1" applyBorder="1" applyProtection="1"/>
    <xf numFmtId="0" fontId="48" fillId="3" borderId="16" xfId="2" applyFont="1" applyFill="1" applyBorder="1" applyProtection="1"/>
    <xf numFmtId="0" fontId="48" fillId="3" borderId="18" xfId="2" applyFont="1" applyFill="1" applyBorder="1" applyProtection="1"/>
    <xf numFmtId="0" fontId="48" fillId="3" borderId="17" xfId="2" applyFont="1" applyFill="1" applyBorder="1" applyProtection="1"/>
    <xf numFmtId="0" fontId="52" fillId="3" borderId="0" xfId="2" applyFont="1" applyFill="1" applyBorder="1" applyAlignment="1" applyProtection="1">
      <alignment horizontal="left" vertical="center" wrapText="1"/>
    </xf>
    <xf numFmtId="0" fontId="48" fillId="3" borderId="0" xfId="2" applyFont="1" applyFill="1" applyBorder="1" applyAlignment="1" applyProtection="1">
      <alignment horizontal="left" vertical="center" wrapText="1"/>
    </xf>
    <xf numFmtId="0" fontId="48" fillId="3" borderId="0" xfId="2" quotePrefix="1" applyFont="1" applyFill="1" applyBorder="1" applyAlignment="1" applyProtection="1">
      <alignment horizontal="left" vertical="center" wrapText="1"/>
    </xf>
    <xf numFmtId="0" fontId="48" fillId="3" borderId="15" xfId="2" applyFont="1" applyFill="1" applyBorder="1" applyAlignment="1" applyProtection="1"/>
    <xf numFmtId="0" fontId="50" fillId="3" borderId="14" xfId="2" quotePrefix="1" applyFont="1" applyFill="1" applyBorder="1" applyAlignment="1" applyProtection="1">
      <alignment horizontal="left" vertical="top" wrapText="1"/>
    </xf>
    <xf numFmtId="0" fontId="51" fillId="3" borderId="0" xfId="2" quotePrefix="1" applyFont="1" applyFill="1" applyBorder="1" applyAlignment="1" applyProtection="1">
      <alignment horizontal="left" vertical="top" wrapText="1"/>
    </xf>
    <xf numFmtId="0" fontId="51"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57" fillId="17" borderId="33" xfId="5" applyFont="1" applyFill="1" applyBorder="1" applyAlignment="1">
      <alignment horizontal="center" vertical="center" wrapText="1"/>
    </xf>
    <xf numFmtId="0" fontId="57" fillId="17" borderId="77" xfId="5" applyFont="1" applyFill="1" applyBorder="1" applyAlignment="1">
      <alignment vertical="center" wrapText="1"/>
    </xf>
    <xf numFmtId="0" fontId="58" fillId="3" borderId="33" xfId="0" applyFont="1" applyFill="1" applyBorder="1" applyAlignment="1">
      <alignment horizontal="left" vertical="center" wrapText="1"/>
    </xf>
    <xf numFmtId="0" fontId="0" fillId="0" borderId="0" xfId="0" applyAlignment="1">
      <alignment horizontal="left"/>
    </xf>
    <xf numFmtId="0" fontId="0" fillId="0" borderId="0" xfId="0" applyAlignment="1">
      <alignment horizontal="left" indent="1"/>
    </xf>
    <xf numFmtId="0" fontId="61" fillId="0" borderId="0" xfId="0" applyFont="1"/>
    <xf numFmtId="0" fontId="58" fillId="18" borderId="76" xfId="0" applyFont="1" applyFill="1" applyBorder="1" applyAlignment="1">
      <alignment horizontal="left" vertical="center" wrapText="1"/>
    </xf>
    <xf numFmtId="0" fontId="53" fillId="3" borderId="71" xfId="0" applyFont="1" applyFill="1" applyBorder="1" applyAlignment="1" applyProtection="1">
      <alignment horizontal="left" vertical="center" wrapText="1"/>
    </xf>
    <xf numFmtId="0" fontId="53" fillId="3" borderId="72" xfId="0" applyFont="1" applyFill="1" applyBorder="1" applyAlignment="1" applyProtection="1">
      <alignment horizontal="left" vertical="center" wrapText="1"/>
    </xf>
    <xf numFmtId="0" fontId="62" fillId="19" borderId="79" xfId="4" applyFont="1" applyFill="1" applyBorder="1" applyAlignment="1">
      <alignment horizontal="left" vertical="top" wrapText="1"/>
    </xf>
    <xf numFmtId="0" fontId="62" fillId="20" borderId="80" xfId="4" applyFont="1" applyFill="1" applyBorder="1" applyAlignment="1">
      <alignment horizontal="left" vertical="top" wrapText="1"/>
    </xf>
    <xf numFmtId="0" fontId="62" fillId="21" borderId="80" xfId="4" applyFont="1" applyFill="1" applyBorder="1" applyAlignment="1">
      <alignment horizontal="left" vertical="top" wrapText="1"/>
    </xf>
    <xf numFmtId="0" fontId="0" fillId="0" borderId="80" xfId="0" applyFont="1" applyBorder="1" applyAlignment="1">
      <alignment horizontal="left" vertical="top"/>
    </xf>
    <xf numFmtId="0" fontId="62" fillId="3" borderId="80" xfId="4" applyFont="1" applyFill="1" applyBorder="1" applyAlignment="1">
      <alignment horizontal="left" vertical="top" wrapText="1"/>
    </xf>
    <xf numFmtId="0" fontId="62" fillId="0" borderId="80" xfId="4" applyFont="1" applyBorder="1" applyAlignment="1">
      <alignment horizontal="left" vertical="top"/>
    </xf>
    <xf numFmtId="0" fontId="62" fillId="19" borderId="80" xfId="4" applyFont="1" applyFill="1" applyBorder="1" applyAlignment="1">
      <alignment horizontal="left" vertical="top" wrapText="1"/>
    </xf>
    <xf numFmtId="0" fontId="62" fillId="0" borderId="81" xfId="4" applyFont="1" applyBorder="1"/>
    <xf numFmtId="0" fontId="63" fillId="3" borderId="79" xfId="0" applyFont="1" applyFill="1" applyBorder="1" applyAlignment="1">
      <alignment vertical="top" wrapText="1"/>
    </xf>
    <xf numFmtId="0" fontId="63" fillId="3" borderId="80" xfId="0" applyFont="1" applyFill="1" applyBorder="1" applyAlignment="1">
      <alignment vertical="top" wrapText="1"/>
    </xf>
    <xf numFmtId="0" fontId="63" fillId="3" borderId="81" xfId="0" applyFont="1" applyFill="1" applyBorder="1" applyAlignment="1">
      <alignment vertical="top" wrapText="1"/>
    </xf>
    <xf numFmtId="0" fontId="4" fillId="22" borderId="2" xfId="0" applyFont="1" applyFill="1" applyBorder="1" applyAlignment="1">
      <alignment horizontal="center" vertical="center" textRotation="9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1" fillId="0" borderId="2" xfId="0" applyFont="1" applyBorder="1" applyAlignment="1" applyProtection="1">
      <alignment horizontal="justify" vertical="top" wrapText="1"/>
      <protection locked="0"/>
    </xf>
    <xf numFmtId="0" fontId="1" fillId="13" borderId="2" xfId="0" applyFont="1" applyFill="1" applyBorder="1" applyAlignment="1" applyProtection="1">
      <alignment horizontal="justify" vertical="top" wrapText="1"/>
      <protection locked="0"/>
    </xf>
    <xf numFmtId="0" fontId="2" fillId="0" borderId="4" xfId="0" applyFont="1" applyFill="1" applyBorder="1" applyAlignment="1" applyProtection="1">
      <alignment horizontal="center" vertical="top" wrapText="1"/>
      <protection locked="0"/>
    </xf>
    <xf numFmtId="0" fontId="54" fillId="3" borderId="64" xfId="2" applyFont="1" applyFill="1" applyBorder="1" applyAlignment="1" applyProtection="1">
      <alignment horizontal="justify" vertical="center" wrapText="1"/>
    </xf>
    <xf numFmtId="0" fontId="54" fillId="3" borderId="65" xfId="2" applyFont="1" applyFill="1" applyBorder="1" applyAlignment="1" applyProtection="1">
      <alignment horizontal="justify" vertical="center" wrapText="1"/>
    </xf>
    <xf numFmtId="0" fontId="53" fillId="3" borderId="71" xfId="0" applyFont="1" applyFill="1" applyBorder="1" applyAlignment="1" applyProtection="1">
      <alignment horizontal="left" vertical="center" wrapText="1"/>
    </xf>
    <xf numFmtId="0" fontId="53" fillId="3" borderId="72" xfId="0" applyFont="1" applyFill="1" applyBorder="1" applyAlignment="1" applyProtection="1">
      <alignment horizontal="left" vertical="center" wrapText="1"/>
    </xf>
    <xf numFmtId="0" fontId="53" fillId="3" borderId="58" xfId="3" applyFont="1" applyFill="1" applyBorder="1" applyAlignment="1" applyProtection="1">
      <alignment horizontal="left" vertical="top" wrapText="1" readingOrder="1"/>
    </xf>
    <xf numFmtId="0" fontId="53" fillId="3" borderId="59" xfId="3" applyFont="1" applyFill="1" applyBorder="1" applyAlignment="1" applyProtection="1">
      <alignment horizontal="left" vertical="top" wrapText="1" readingOrder="1"/>
    </xf>
    <xf numFmtId="0" fontId="54" fillId="3" borderId="60" xfId="2" applyFont="1" applyFill="1" applyBorder="1" applyAlignment="1" applyProtection="1">
      <alignment horizontal="justify" vertical="center" wrapText="1"/>
    </xf>
    <xf numFmtId="0" fontId="54" fillId="3" borderId="61" xfId="2" applyFont="1" applyFill="1" applyBorder="1" applyAlignment="1" applyProtection="1">
      <alignment horizontal="justify" vertical="center" wrapText="1"/>
    </xf>
    <xf numFmtId="0" fontId="53" fillId="3" borderId="62" xfId="0" applyFont="1" applyFill="1" applyBorder="1" applyAlignment="1" applyProtection="1">
      <alignment horizontal="left" vertical="center" wrapText="1"/>
    </xf>
    <xf numFmtId="0" fontId="53" fillId="3" borderId="63" xfId="0" applyFont="1" applyFill="1" applyBorder="1" applyAlignment="1" applyProtection="1">
      <alignment horizontal="left" vertical="center" wrapText="1"/>
    </xf>
    <xf numFmtId="0" fontId="48" fillId="3" borderId="14" xfId="2" applyFont="1" applyFill="1" applyBorder="1" applyAlignment="1" applyProtection="1">
      <alignment horizontal="left" vertical="top" wrapText="1"/>
    </xf>
    <xf numFmtId="0" fontId="48" fillId="3" borderId="0" xfId="2" applyFont="1" applyFill="1" applyBorder="1" applyAlignment="1" applyProtection="1">
      <alignment horizontal="left" vertical="top" wrapText="1"/>
    </xf>
    <xf numFmtId="0" fontId="48" fillId="3" borderId="15" xfId="2" applyFont="1" applyFill="1" applyBorder="1" applyAlignment="1" applyProtection="1">
      <alignment horizontal="left" vertical="top" wrapText="1"/>
    </xf>
    <xf numFmtId="0" fontId="53" fillId="3" borderId="73" xfId="0" applyFont="1" applyFill="1" applyBorder="1" applyAlignment="1" applyProtection="1">
      <alignment horizontal="left" vertical="center" wrapText="1"/>
    </xf>
    <xf numFmtId="0" fontId="53" fillId="3" borderId="74" xfId="0" applyFont="1" applyFill="1" applyBorder="1" applyAlignment="1" applyProtection="1">
      <alignment horizontal="left" vertical="center" wrapText="1"/>
    </xf>
    <xf numFmtId="0" fontId="54" fillId="3" borderId="66" xfId="0" applyFont="1" applyFill="1" applyBorder="1" applyAlignment="1" applyProtection="1">
      <alignment horizontal="justify" vertical="center" wrapText="1"/>
    </xf>
    <xf numFmtId="0" fontId="54" fillId="3" borderId="67" xfId="0" applyFont="1" applyFill="1" applyBorder="1" applyAlignment="1" applyProtection="1">
      <alignment horizontal="justify" vertical="center" wrapText="1"/>
    </xf>
    <xf numFmtId="0" fontId="49" fillId="14" borderId="48" xfId="2" applyFont="1" applyFill="1" applyBorder="1" applyAlignment="1" applyProtection="1">
      <alignment horizontal="center" vertical="center" wrapText="1"/>
    </xf>
    <xf numFmtId="0" fontId="49" fillId="14" borderId="49" xfId="2" applyFont="1" applyFill="1" applyBorder="1" applyAlignment="1" applyProtection="1">
      <alignment horizontal="center" vertical="center" wrapText="1"/>
    </xf>
    <xf numFmtId="0" fontId="49" fillId="14" borderId="50" xfId="2" applyFont="1" applyFill="1" applyBorder="1" applyAlignment="1" applyProtection="1">
      <alignment horizontal="center" vertical="center" wrapText="1"/>
    </xf>
    <xf numFmtId="0" fontId="48" fillId="0" borderId="14" xfId="2" quotePrefix="1" applyFont="1" applyBorder="1" applyAlignment="1" applyProtection="1">
      <alignment horizontal="left" vertical="center" wrapText="1"/>
    </xf>
    <xf numFmtId="0" fontId="48" fillId="0" borderId="0" xfId="2" quotePrefix="1" applyFont="1" applyBorder="1" applyAlignment="1" applyProtection="1">
      <alignment horizontal="left" vertical="center" wrapText="1"/>
    </xf>
    <xf numFmtId="0" fontId="48" fillId="0" borderId="15" xfId="2" quotePrefix="1" applyFont="1" applyBorder="1" applyAlignment="1" applyProtection="1">
      <alignment horizontal="left" vertical="center" wrapText="1"/>
    </xf>
    <xf numFmtId="0" fontId="48" fillId="0" borderId="68" xfId="2" quotePrefix="1" applyFont="1" applyBorder="1" applyAlignment="1" applyProtection="1">
      <alignment horizontal="left" vertical="center" wrapText="1"/>
    </xf>
    <xf numFmtId="0" fontId="48" fillId="0" borderId="69" xfId="2" quotePrefix="1" applyFont="1" applyBorder="1" applyAlignment="1" applyProtection="1">
      <alignment horizontal="left" vertical="center" wrapText="1"/>
    </xf>
    <xf numFmtId="0" fontId="48" fillId="0" borderId="70" xfId="2" quotePrefix="1" applyFont="1" applyBorder="1" applyAlignment="1" applyProtection="1">
      <alignment horizontal="left" vertical="center" wrapText="1"/>
    </xf>
    <xf numFmtId="0" fontId="50" fillId="3" borderId="51" xfId="2" quotePrefix="1" applyFont="1" applyFill="1" applyBorder="1" applyAlignment="1" applyProtection="1">
      <alignment horizontal="left" vertical="top" wrapText="1"/>
    </xf>
    <xf numFmtId="0" fontId="51" fillId="3" borderId="52" xfId="2" quotePrefix="1" applyFont="1" applyFill="1" applyBorder="1" applyAlignment="1" applyProtection="1">
      <alignment horizontal="left" vertical="top" wrapText="1"/>
    </xf>
    <xf numFmtId="0" fontId="51" fillId="3" borderId="53" xfId="2" quotePrefix="1" applyFont="1" applyFill="1" applyBorder="1" applyAlignment="1" applyProtection="1">
      <alignment horizontal="left" vertical="top" wrapText="1"/>
    </xf>
    <xf numFmtId="0" fontId="48" fillId="0" borderId="14" xfId="2" quotePrefix="1" applyFont="1" applyBorder="1" applyAlignment="1" applyProtection="1">
      <alignment horizontal="left" vertical="top" wrapText="1"/>
    </xf>
    <xf numFmtId="0" fontId="48" fillId="0" borderId="0" xfId="2" quotePrefix="1" applyFont="1" applyBorder="1" applyAlignment="1" applyProtection="1">
      <alignment horizontal="left" vertical="top" wrapText="1"/>
    </xf>
    <xf numFmtId="0" fontId="48" fillId="0" borderId="15" xfId="2" quotePrefix="1" applyFont="1" applyBorder="1" applyAlignment="1" applyProtection="1">
      <alignment horizontal="left" vertical="top" wrapText="1"/>
    </xf>
    <xf numFmtId="0" fontId="53" fillId="14" borderId="54" xfId="3" applyFont="1" applyFill="1" applyBorder="1" applyAlignment="1" applyProtection="1">
      <alignment horizontal="center" vertical="center" wrapText="1"/>
    </xf>
    <xf numFmtId="0" fontId="53" fillId="14" borderId="55" xfId="3" applyFont="1" applyFill="1" applyBorder="1" applyAlignment="1" applyProtection="1">
      <alignment horizontal="center" vertical="center" wrapText="1"/>
    </xf>
    <xf numFmtId="0" fontId="53" fillId="14" borderId="56" xfId="2" applyFont="1" applyFill="1" applyBorder="1" applyAlignment="1" applyProtection="1">
      <alignment horizontal="center" vertical="center"/>
    </xf>
    <xf numFmtId="0" fontId="53"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Fill="1" applyBorder="1" applyAlignment="1" applyProtection="1">
      <alignment horizontal="center" vertical="top" wrapText="1"/>
      <protection locked="0"/>
    </xf>
    <xf numFmtId="0" fontId="2" fillId="0" borderId="8" xfId="0" applyFont="1" applyFill="1" applyBorder="1" applyAlignment="1" applyProtection="1">
      <alignment horizontal="center" vertical="top" wrapText="1"/>
      <protection locked="0"/>
    </xf>
    <xf numFmtId="0" fontId="2" fillId="0" borderId="5" xfId="0" applyFont="1" applyFill="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Fill="1" applyBorder="1" applyAlignment="1" applyProtection="1">
      <alignment horizontal="center" vertical="top"/>
      <protection locked="0"/>
    </xf>
    <xf numFmtId="0" fontId="1" fillId="0" borderId="8" xfId="0" applyFont="1" applyFill="1" applyBorder="1" applyAlignment="1" applyProtection="1">
      <alignment horizontal="center" vertical="top"/>
      <protection locked="0"/>
    </xf>
    <xf numFmtId="0" fontId="1" fillId="0" borderId="5" xfId="0" applyFont="1" applyFill="1" applyBorder="1" applyAlignment="1" applyProtection="1">
      <alignment horizontal="center" vertical="top"/>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3" borderId="0" xfId="0" applyFont="1" applyFill="1" applyBorder="1" applyAlignment="1">
      <alignment horizontal="left" vertical="center"/>
    </xf>
    <xf numFmtId="0" fontId="4" fillId="22" borderId="28" xfId="0" applyFont="1" applyFill="1" applyBorder="1" applyAlignment="1">
      <alignment horizontal="center" vertical="center"/>
    </xf>
    <xf numFmtId="0" fontId="4" fillId="22" borderId="29" xfId="0" applyFont="1" applyFill="1" applyBorder="1" applyAlignment="1">
      <alignment horizontal="center" vertical="center"/>
    </xf>
    <xf numFmtId="0" fontId="4" fillId="22" borderId="30" xfId="0" applyFont="1" applyFill="1" applyBorder="1" applyAlignment="1">
      <alignment horizontal="center" vertical="center"/>
    </xf>
    <xf numFmtId="0" fontId="4" fillId="22" borderId="3" xfId="0" applyFont="1" applyFill="1" applyBorder="1" applyAlignment="1">
      <alignment horizontal="center" vertical="center"/>
    </xf>
    <xf numFmtId="0" fontId="4" fillId="22" borderId="31" xfId="0" applyFont="1" applyFill="1" applyBorder="1" applyAlignment="1">
      <alignment horizontal="center" vertical="center"/>
    </xf>
    <xf numFmtId="0" fontId="4" fillId="22" borderId="32" xfId="0" applyFont="1" applyFill="1" applyBorder="1" applyAlignment="1">
      <alignment horizontal="center" vertical="center"/>
    </xf>
    <xf numFmtId="0" fontId="23" fillId="22" borderId="6" xfId="0" applyFont="1" applyFill="1" applyBorder="1" applyAlignment="1">
      <alignment horizontal="center" vertical="center"/>
    </xf>
    <xf numFmtId="0" fontId="23" fillId="22" borderId="10" xfId="0" applyFont="1" applyFill="1" applyBorder="1" applyAlignment="1">
      <alignment horizontal="center" vertical="center"/>
    </xf>
    <xf numFmtId="0" fontId="23" fillId="22" borderId="7" xfId="0" applyFont="1" applyFill="1" applyBorder="1" applyAlignment="1">
      <alignment horizontal="center" vertical="center"/>
    </xf>
    <xf numFmtId="0" fontId="64" fillId="22" borderId="6" xfId="0" applyFont="1" applyFill="1" applyBorder="1" applyAlignment="1">
      <alignment horizontal="center" vertical="center"/>
    </xf>
    <xf numFmtId="0" fontId="64" fillId="22" borderId="10" xfId="0" applyFont="1" applyFill="1" applyBorder="1" applyAlignment="1">
      <alignment horizontal="center" vertical="center"/>
    </xf>
    <xf numFmtId="0" fontId="64" fillId="22" borderId="7" xfId="0" applyFont="1" applyFill="1" applyBorder="1" applyAlignment="1">
      <alignment horizontal="center" vertical="center"/>
    </xf>
    <xf numFmtId="0" fontId="4" fillId="22" borderId="2" xfId="0" applyFont="1" applyFill="1" applyBorder="1" applyAlignment="1">
      <alignment horizontal="center" vertical="center" wrapText="1"/>
    </xf>
    <xf numFmtId="0" fontId="25" fillId="22" borderId="4" xfId="0" applyFont="1" applyFill="1" applyBorder="1" applyAlignment="1">
      <alignment horizontal="center" vertical="center" textRotation="90"/>
    </xf>
    <xf numFmtId="0" fontId="25" fillId="22" borderId="5" xfId="0" applyFont="1" applyFill="1" applyBorder="1" applyAlignment="1">
      <alignment horizontal="center" vertical="center" textRotation="90"/>
    </xf>
    <xf numFmtId="0" fontId="4" fillId="22" borderId="4" xfId="0" applyFont="1" applyFill="1" applyBorder="1" applyAlignment="1">
      <alignment horizontal="center" vertical="center" wrapText="1"/>
    </xf>
    <xf numFmtId="0" fontId="4" fillId="22" borderId="5" xfId="0" applyFont="1" applyFill="1" applyBorder="1" applyAlignment="1">
      <alignment horizontal="center" vertical="center" wrapText="1"/>
    </xf>
    <xf numFmtId="0" fontId="4" fillId="22" borderId="5" xfId="0" applyFont="1" applyFill="1" applyBorder="1" applyAlignment="1">
      <alignment horizontal="center" vertical="center"/>
    </xf>
    <xf numFmtId="0" fontId="4" fillId="22" borderId="2" xfId="0" applyFont="1" applyFill="1" applyBorder="1" applyAlignment="1">
      <alignment horizontal="center" vertical="center"/>
    </xf>
    <xf numFmtId="0" fontId="4" fillId="22" borderId="4" xfId="0" applyFont="1" applyFill="1" applyBorder="1" applyAlignment="1">
      <alignment horizontal="center" vertical="center" textRotation="90" wrapText="1"/>
    </xf>
    <xf numFmtId="0" fontId="4" fillId="22" borderId="5" xfId="0" applyFont="1" applyFill="1" applyBorder="1" applyAlignment="1">
      <alignment horizontal="center" vertical="center" textRotation="90" wrapText="1"/>
    </xf>
    <xf numFmtId="0" fontId="1" fillId="3" borderId="6"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wrapText="1"/>
      <protection locked="0"/>
    </xf>
    <xf numFmtId="0" fontId="4" fillId="22" borderId="2" xfId="0" applyFont="1" applyFill="1" applyBorder="1" applyAlignment="1">
      <alignment horizontal="center" vertical="center" textRotation="90"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Fill="1" applyBorder="1" applyAlignment="1" applyProtection="1">
      <alignment horizontal="center" vertical="top"/>
    </xf>
    <xf numFmtId="0" fontId="1" fillId="0" borderId="8" xfId="0" applyFont="1" applyFill="1" applyBorder="1" applyAlignment="1" applyProtection="1">
      <alignment horizontal="center" vertical="top"/>
    </xf>
    <xf numFmtId="0" fontId="1" fillId="0" borderId="5" xfId="0" applyFont="1" applyFill="1" applyBorder="1" applyAlignment="1" applyProtection="1">
      <alignment horizontal="center" vertical="top"/>
    </xf>
    <xf numFmtId="0" fontId="4" fillId="22" borderId="8" xfId="0" applyFont="1" applyFill="1" applyBorder="1" applyAlignment="1">
      <alignment horizontal="center" vertical="center" wrapText="1"/>
    </xf>
    <xf numFmtId="0" fontId="4" fillId="22" borderId="9" xfId="0" applyFont="1" applyFill="1" applyBorder="1" applyAlignment="1">
      <alignment horizontal="center" vertical="center"/>
    </xf>
    <xf numFmtId="0" fontId="4" fillId="22" borderId="9" xfId="0" applyFont="1" applyFill="1" applyBorder="1" applyAlignment="1">
      <alignment horizontal="center" vertical="center" wrapText="1"/>
    </xf>
    <xf numFmtId="0" fontId="1" fillId="3" borderId="6" xfId="0" applyFont="1" applyFill="1" applyBorder="1" applyAlignment="1" applyProtection="1">
      <alignment horizontal="center" vertical="center"/>
      <protection locked="0"/>
    </xf>
    <xf numFmtId="0" fontId="1" fillId="3" borderId="10"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 fillId="3" borderId="6" xfId="0" applyFont="1" applyFill="1" applyBorder="1" applyAlignment="1" applyProtection="1">
      <alignment horizontal="left" vertical="center"/>
      <protection locked="0"/>
    </xf>
    <xf numFmtId="0" fontId="1" fillId="3" borderId="10"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4" fillId="22" borderId="6" xfId="0" applyFont="1" applyFill="1" applyBorder="1" applyAlignment="1">
      <alignment horizontal="left" vertical="center"/>
    </xf>
    <xf numFmtId="0" fontId="4" fillId="22" borderId="10" xfId="0" applyFont="1" applyFill="1" applyBorder="1" applyAlignment="1">
      <alignment horizontal="left" vertical="center"/>
    </xf>
    <xf numFmtId="0" fontId="4" fillId="22" borderId="7" xfId="0" applyFont="1" applyFill="1" applyBorder="1" applyAlignment="1">
      <alignment horizontal="left" vertical="center"/>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0" xfId="0" applyFont="1" applyBorder="1" applyAlignment="1">
      <alignment horizontal="center" vertical="center"/>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41" fillId="11" borderId="20" xfId="0" applyFont="1" applyFill="1" applyBorder="1" applyAlignment="1">
      <alignment horizontal="center" vertical="center" wrapText="1" readingOrder="1"/>
    </xf>
    <xf numFmtId="0" fontId="41" fillId="11" borderId="21" xfId="0" applyFont="1" applyFill="1" applyBorder="1" applyAlignment="1">
      <alignment horizontal="center" vertical="center" wrapText="1" readingOrder="1"/>
    </xf>
    <xf numFmtId="0" fontId="41" fillId="11" borderId="22" xfId="0" applyFont="1" applyFill="1" applyBorder="1" applyAlignment="1">
      <alignment horizontal="center" vertical="center" wrapText="1" readingOrder="1"/>
    </xf>
    <xf numFmtId="0" fontId="41" fillId="11" borderId="23" xfId="0" applyFont="1" applyFill="1" applyBorder="1" applyAlignment="1">
      <alignment horizontal="center" vertical="center" wrapText="1" readingOrder="1"/>
    </xf>
    <xf numFmtId="0" fontId="41" fillId="11" borderId="0" xfId="0" applyFont="1" applyFill="1" applyBorder="1" applyAlignment="1">
      <alignment horizontal="center" vertical="center" wrapText="1" readingOrder="1"/>
    </xf>
    <xf numFmtId="0" fontId="41" fillId="11" borderId="24" xfId="0" applyFont="1" applyFill="1" applyBorder="1" applyAlignment="1">
      <alignment horizontal="center" vertical="center" wrapText="1" readingOrder="1"/>
    </xf>
    <xf numFmtId="0" fontId="41" fillId="11" borderId="25" xfId="0" applyFont="1" applyFill="1" applyBorder="1" applyAlignment="1">
      <alignment horizontal="center" vertical="center" wrapText="1" readingOrder="1"/>
    </xf>
    <xf numFmtId="0" fontId="41" fillId="11" borderId="26" xfId="0" applyFont="1" applyFill="1" applyBorder="1" applyAlignment="1">
      <alignment horizontal="center" vertical="center" wrapText="1" readingOrder="1"/>
    </xf>
    <xf numFmtId="0" fontId="41" fillId="11" borderId="27"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42" fillId="0" borderId="19" xfId="0" applyFont="1" applyBorder="1" applyAlignment="1">
      <alignment horizontal="center" vertical="center"/>
    </xf>
    <xf numFmtId="0" fontId="42" fillId="0" borderId="14" xfId="0" applyFont="1" applyBorder="1" applyAlignment="1">
      <alignment horizontal="center" vertical="center" wrapText="1"/>
    </xf>
    <xf numFmtId="0" fontId="42" fillId="0" borderId="0" xfId="0" applyFont="1" applyBorder="1" applyAlignment="1">
      <alignment horizontal="center" vertical="center"/>
    </xf>
    <xf numFmtId="0" fontId="42" fillId="0" borderId="14" xfId="0" applyFont="1" applyBorder="1" applyAlignment="1">
      <alignment horizontal="center" vertical="center"/>
    </xf>
    <xf numFmtId="0" fontId="42" fillId="0" borderId="0" xfId="0" applyFont="1" applyAlignment="1">
      <alignment horizontal="center" vertical="center"/>
    </xf>
    <xf numFmtId="0" fontId="42" fillId="0" borderId="16" xfId="0" applyFont="1" applyBorder="1" applyAlignment="1">
      <alignment horizontal="center" vertical="center"/>
    </xf>
    <xf numFmtId="0" fontId="42" fillId="0" borderId="18" xfId="0" applyFont="1" applyBorder="1" applyAlignment="1">
      <alignment horizontal="center" vertical="center"/>
    </xf>
    <xf numFmtId="0" fontId="41" fillId="12" borderId="20" xfId="0" applyFont="1" applyFill="1" applyBorder="1" applyAlignment="1">
      <alignment horizontal="center" vertical="center" wrapText="1" readingOrder="1"/>
    </xf>
    <xf numFmtId="0" fontId="41" fillId="12" borderId="21" xfId="0" applyFont="1" applyFill="1" applyBorder="1" applyAlignment="1">
      <alignment horizontal="center" vertical="center" wrapText="1" readingOrder="1"/>
    </xf>
    <xf numFmtId="0" fontId="41" fillId="12" borderId="22" xfId="0" applyFont="1" applyFill="1" applyBorder="1" applyAlignment="1">
      <alignment horizontal="center" vertical="center" wrapText="1" readingOrder="1"/>
    </xf>
    <xf numFmtId="0" fontId="41" fillId="12" borderId="23" xfId="0" applyFont="1" applyFill="1" applyBorder="1" applyAlignment="1">
      <alignment horizontal="center" vertical="center" wrapText="1" readingOrder="1"/>
    </xf>
    <xf numFmtId="0" fontId="41" fillId="12" borderId="0" xfId="0" applyFont="1" applyFill="1" applyBorder="1" applyAlignment="1">
      <alignment horizontal="center" vertical="center" wrapText="1" readingOrder="1"/>
    </xf>
    <xf numFmtId="0" fontId="41" fillId="12" borderId="24" xfId="0" applyFont="1" applyFill="1" applyBorder="1" applyAlignment="1">
      <alignment horizontal="center" vertical="center" wrapText="1" readingOrder="1"/>
    </xf>
    <xf numFmtId="0" fontId="41" fillId="12" borderId="25" xfId="0" applyFont="1" applyFill="1" applyBorder="1" applyAlignment="1">
      <alignment horizontal="center" vertical="center" wrapText="1" readingOrder="1"/>
    </xf>
    <xf numFmtId="0" fontId="41" fillId="12" borderId="26" xfId="0" applyFont="1" applyFill="1" applyBorder="1" applyAlignment="1">
      <alignment horizontal="center" vertical="center" wrapText="1" readingOrder="1"/>
    </xf>
    <xf numFmtId="0" fontId="41" fillId="12" borderId="27" xfId="0" applyFont="1" applyFill="1" applyBorder="1" applyAlignment="1">
      <alignment horizontal="center" vertical="center" wrapText="1" readingOrder="1"/>
    </xf>
    <xf numFmtId="0" fontId="40" fillId="0" borderId="0" xfId="0" applyFont="1" applyAlignment="1">
      <alignment horizontal="center" vertical="center" wrapText="1"/>
    </xf>
    <xf numFmtId="0" fontId="21" fillId="0" borderId="0" xfId="0" applyFont="1" applyAlignment="1">
      <alignment horizontal="center" vertical="center" wrapText="1"/>
    </xf>
    <xf numFmtId="0" fontId="42" fillId="0" borderId="13" xfId="0" applyFont="1" applyBorder="1" applyAlignment="1">
      <alignment horizontal="center" vertical="center"/>
    </xf>
    <xf numFmtId="0" fontId="42" fillId="0" borderId="15" xfId="0" applyFont="1" applyBorder="1" applyAlignment="1">
      <alignment horizontal="center" vertical="center"/>
    </xf>
    <xf numFmtId="0" fontId="42" fillId="0" borderId="17" xfId="0" applyFont="1" applyBorder="1" applyAlignment="1">
      <alignment horizontal="center" vertical="center"/>
    </xf>
    <xf numFmtId="0" fontId="41" fillId="5" borderId="20" xfId="0" applyFont="1" applyFill="1" applyBorder="1" applyAlignment="1">
      <alignment horizontal="center" vertical="center" wrapText="1" readingOrder="1"/>
    </xf>
    <xf numFmtId="0" fontId="41" fillId="5" borderId="21" xfId="0" applyFont="1" applyFill="1" applyBorder="1" applyAlignment="1">
      <alignment horizontal="center" vertical="center" wrapText="1" readingOrder="1"/>
    </xf>
    <xf numFmtId="0" fontId="41" fillId="5" borderId="22" xfId="0" applyFont="1" applyFill="1" applyBorder="1" applyAlignment="1">
      <alignment horizontal="center" vertical="center" wrapText="1" readingOrder="1"/>
    </xf>
    <xf numFmtId="0" fontId="41" fillId="5" borderId="23" xfId="0" applyFont="1" applyFill="1" applyBorder="1" applyAlignment="1">
      <alignment horizontal="center" vertical="center" wrapText="1" readingOrder="1"/>
    </xf>
    <xf numFmtId="0" fontId="41" fillId="5" borderId="0" xfId="0" applyFont="1" applyFill="1" applyBorder="1" applyAlignment="1">
      <alignment horizontal="center" vertical="center" wrapText="1" readingOrder="1"/>
    </xf>
    <xf numFmtId="0" fontId="41" fillId="5" borderId="24" xfId="0" applyFont="1" applyFill="1" applyBorder="1" applyAlignment="1">
      <alignment horizontal="center" vertical="center" wrapText="1" readingOrder="1"/>
    </xf>
    <xf numFmtId="0" fontId="41" fillId="5" borderId="25" xfId="0" applyFont="1" applyFill="1" applyBorder="1" applyAlignment="1">
      <alignment horizontal="center" vertical="center" wrapText="1" readingOrder="1"/>
    </xf>
    <xf numFmtId="0" fontId="41" fillId="5" borderId="26" xfId="0" applyFont="1" applyFill="1" applyBorder="1" applyAlignment="1">
      <alignment horizontal="center" vertical="center" wrapText="1" readingOrder="1"/>
    </xf>
    <xf numFmtId="0" fontId="41" fillId="5" borderId="27"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1" fillId="13" borderId="21" xfId="0" applyFont="1" applyFill="1" applyBorder="1" applyAlignment="1">
      <alignment horizontal="center" vertical="center" wrapText="1" readingOrder="1"/>
    </xf>
    <xf numFmtId="0" fontId="41" fillId="13" borderId="22" xfId="0" applyFont="1" applyFill="1" applyBorder="1" applyAlignment="1">
      <alignment horizontal="center" vertical="center" wrapText="1" readingOrder="1"/>
    </xf>
    <xf numFmtId="0" fontId="41" fillId="13" borderId="23" xfId="0" applyFont="1" applyFill="1" applyBorder="1" applyAlignment="1">
      <alignment horizontal="center" vertical="center" wrapText="1" readingOrder="1"/>
    </xf>
    <xf numFmtId="0" fontId="41" fillId="13" borderId="0" xfId="0" applyFont="1" applyFill="1" applyBorder="1" applyAlignment="1">
      <alignment horizontal="center" vertical="center" wrapText="1" readingOrder="1"/>
    </xf>
    <xf numFmtId="0" fontId="41" fillId="13" borderId="24" xfId="0" applyFont="1" applyFill="1" applyBorder="1" applyAlignment="1">
      <alignment horizontal="center" vertical="center" wrapText="1" readingOrder="1"/>
    </xf>
    <xf numFmtId="0" fontId="41" fillId="13" borderId="25" xfId="0" applyFont="1" applyFill="1" applyBorder="1" applyAlignment="1">
      <alignment horizontal="center" vertical="center" wrapText="1" readingOrder="1"/>
    </xf>
    <xf numFmtId="0" fontId="41" fillId="13" borderId="26" xfId="0" applyFont="1" applyFill="1" applyBorder="1" applyAlignment="1">
      <alignment horizontal="center" vertical="center" wrapText="1" readingOrder="1"/>
    </xf>
    <xf numFmtId="0" fontId="41" fillId="13" borderId="27" xfId="0" applyFont="1" applyFill="1" applyBorder="1" applyAlignment="1">
      <alignment horizontal="center" vertical="center" wrapText="1" readingOrder="1"/>
    </xf>
    <xf numFmtId="0" fontId="42" fillId="0" borderId="19" xfId="0" applyFont="1" applyBorder="1" applyAlignment="1">
      <alignment horizontal="center" vertical="center" wrapText="1"/>
    </xf>
    <xf numFmtId="0" fontId="23" fillId="0" borderId="0" xfId="0" applyFont="1" applyAlignment="1">
      <alignment horizontal="center" vertical="center"/>
    </xf>
    <xf numFmtId="0" fontId="44" fillId="0" borderId="0" xfId="0" applyFont="1" applyAlignment="1">
      <alignment horizontal="center" vertical="center"/>
    </xf>
    <xf numFmtId="0" fontId="39" fillId="15" borderId="35" xfId="0" applyFont="1" applyFill="1" applyBorder="1" applyAlignment="1">
      <alignment horizontal="center" vertical="center" wrapText="1" readingOrder="1"/>
    </xf>
    <xf numFmtId="0" fontId="39" fillId="15" borderId="36" xfId="0" applyFont="1" applyFill="1" applyBorder="1" applyAlignment="1">
      <alignment horizontal="center" vertical="center" wrapText="1" readingOrder="1"/>
    </xf>
    <xf numFmtId="0" fontId="39" fillId="15" borderId="47" xfId="0" applyFont="1" applyFill="1" applyBorder="1" applyAlignment="1">
      <alignment horizontal="center" vertical="center" wrapText="1" readingOrder="1"/>
    </xf>
    <xf numFmtId="0" fontId="34" fillId="3" borderId="0" xfId="0" applyFont="1" applyFill="1" applyBorder="1" applyAlignment="1">
      <alignment horizontal="justify" vertical="center" wrapText="1"/>
    </xf>
    <xf numFmtId="0" fontId="36" fillId="15" borderId="44" xfId="0" applyFont="1" applyFill="1" applyBorder="1" applyAlignment="1">
      <alignment horizontal="center" vertical="center" wrapText="1" readingOrder="1"/>
    </xf>
    <xf numFmtId="0" fontId="36" fillId="15" borderId="45" xfId="0" applyFont="1" applyFill="1" applyBorder="1" applyAlignment="1">
      <alignment horizontal="center" vertical="center" wrapText="1" readingOrder="1"/>
    </xf>
    <xf numFmtId="0" fontId="36" fillId="3" borderId="42" xfId="0" applyFont="1" applyFill="1" applyBorder="1" applyAlignment="1">
      <alignment horizontal="center" vertical="center" wrapText="1" readingOrder="1"/>
    </xf>
    <xf numFmtId="0" fontId="36" fillId="3" borderId="37" xfId="0" applyFont="1" applyFill="1" applyBorder="1" applyAlignment="1">
      <alignment horizontal="center" vertical="center" wrapText="1" readingOrder="1"/>
    </xf>
    <xf numFmtId="0" fontId="36" fillId="3" borderId="34" xfId="0" applyFont="1" applyFill="1" applyBorder="1" applyAlignment="1">
      <alignment horizontal="center" vertical="center" wrapText="1" readingOrder="1"/>
    </xf>
    <xf numFmtId="0" fontId="36" fillId="3" borderId="33" xfId="0" applyFont="1" applyFill="1" applyBorder="1" applyAlignment="1">
      <alignment horizontal="center" vertical="center" wrapText="1" readingOrder="1"/>
    </xf>
    <xf numFmtId="0" fontId="36" fillId="3" borderId="39" xfId="0" applyFont="1" applyFill="1" applyBorder="1" applyAlignment="1">
      <alignment horizontal="center" vertical="center" wrapText="1" readingOrder="1"/>
    </xf>
    <xf numFmtId="0" fontId="36" fillId="3" borderId="40" xfId="0" applyFont="1" applyFill="1" applyBorder="1" applyAlignment="1">
      <alignment horizontal="center" vertical="center" wrapText="1" readingOrder="1"/>
    </xf>
    <xf numFmtId="0" fontId="57" fillId="17" borderId="77" xfId="5" applyFont="1" applyFill="1" applyBorder="1" applyAlignment="1">
      <alignment horizontal="center" vertical="center" wrapText="1"/>
    </xf>
    <xf numFmtId="0" fontId="57" fillId="17" borderId="78" xfId="5" applyFont="1" applyFill="1" applyBorder="1" applyAlignment="1">
      <alignment horizontal="center" vertical="center" wrapText="1"/>
    </xf>
    <xf numFmtId="0" fontId="58" fillId="3" borderId="75" xfId="0" applyFont="1" applyFill="1" applyBorder="1" applyAlignment="1">
      <alignment horizontal="center" vertical="center" wrapText="1"/>
    </xf>
    <xf numFmtId="0" fontId="58" fillId="3" borderId="76" xfId="0" applyFont="1" applyFill="1" applyBorder="1" applyAlignment="1">
      <alignment horizontal="center" vertical="center" wrapText="1"/>
    </xf>
    <xf numFmtId="0" fontId="58" fillId="3" borderId="34" xfId="0" applyFont="1" applyFill="1" applyBorder="1" applyAlignment="1">
      <alignment horizontal="center" vertical="center" wrapText="1"/>
    </xf>
  </cellXfs>
  <cellStyles count="6">
    <cellStyle name="Énfasis6" xfId="5" builtinId="49"/>
    <cellStyle name="Normal" xfId="0" builtinId="0"/>
    <cellStyle name="Normal - Style1 2" xfId="2"/>
    <cellStyle name="Normal 2" xfId="4"/>
    <cellStyle name="Normal 2 2" xfId="3"/>
    <cellStyle name="Porcentaje" xfId="1" builtinId="5"/>
  </cellStyles>
  <dxfs count="280">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Ing. Andru" refreshedDate="44719.797894097224" createdVersion="6" refreshedVersion="8"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Ing. Andru" refreshedDate="44719.820464814817" createdVersion="8" refreshedVersion="8" minRefreshableVersion="3" recordCount="7">
  <cacheSource type="worksheet">
    <worksheetSource name="Tabla5"/>
  </cacheSource>
  <cacheFields count="2">
    <cacheField name="Criterios" numFmtId="0">
      <sharedItems count="4">
        <s v="***Riesgos de Seguridad de la Información"/>
        <s v="***Riesgos de Datos Personales"/>
        <s v="Riesgos de Datos Personales" u="1"/>
        <s v="Riesgos de Seguridad de la Información" u="1"/>
      </sharedItems>
    </cacheField>
    <cacheField name="Subcriterios" numFmtId="0">
      <sharedItems count="7">
        <s v="1. Posibilidad de pérdida de Confidencialidad"/>
        <s v="2. Posibilidad de pérdida de Integridad"/>
        <s v="3. Posibilidad de pérdida de Disponibilidad"/>
        <s v="1. Posibilidad de pérdida de confidencialidad, divulgación no autorizada o mal uso de la información de datos personales."/>
        <s v="2. Posibilidad de pérdida de integridad, alteración, o modificación de la Información de datos personales."/>
        <s v="3. Posibilidad de afectación de la disponibilidad de la plataforma tecnológica o aplicativos que gestionan datos personales."/>
        <s v="4. Posibilidad de sanciones por incumplimiento de las directrices o normativas frente al tratamiento de los datos personale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x v="0"/>
  </r>
  <r>
    <x v="0"/>
    <x v="1"/>
  </r>
  <r>
    <x v="0"/>
    <x v="2"/>
  </r>
  <r>
    <x v="1"/>
    <x v="3"/>
  </r>
  <r>
    <x v="1"/>
    <x v="4"/>
  </r>
  <r>
    <x v="1"/>
    <x v="5"/>
  </r>
  <r>
    <x v="1"/>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8"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name="TablaDinámica6"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D228:D238" firstHeaderRow="1" firstDataRow="1" firstDataCol="1"/>
  <pivotFields count="2">
    <pivotField axis="axisRow" showAll="0">
      <items count="5">
        <item m="1" x="2"/>
        <item m="1" x="3"/>
        <item x="0"/>
        <item x="1"/>
        <item t="default"/>
      </items>
    </pivotField>
    <pivotField axis="axisRow" showAll="0">
      <items count="8">
        <item x="0"/>
        <item x="3"/>
        <item x="1"/>
        <item x="4"/>
        <item x="5"/>
        <item x="2"/>
        <item x="6"/>
        <item t="default"/>
      </items>
    </pivotField>
  </pivotFields>
  <rowFields count="2">
    <field x="0"/>
    <field x="1"/>
  </rowFields>
  <rowItems count="10">
    <i>
      <x v="2"/>
    </i>
    <i r="1">
      <x/>
    </i>
    <i r="1">
      <x v="2"/>
    </i>
    <i r="1">
      <x v="5"/>
    </i>
    <i>
      <x v="3"/>
    </i>
    <i r="1">
      <x v="1"/>
    </i>
    <i r="1">
      <x v="3"/>
    </i>
    <i r="1">
      <x v="4"/>
    </i>
    <i r="1">
      <x v="6"/>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6" dataDxfId="5">
  <autoFilter ref="B209:C219"/>
  <tableColumns count="2">
    <tableColumn id="1" name="Criterios" dataDxfId="4"/>
    <tableColumn id="2" name="Subcriterios" dataDxfId="3"/>
  </tableColumns>
  <tableStyleInfo name="TableStyleMedium2" showFirstColumn="0" showLastColumn="0" showRowStripes="1" showColumnStripes="0"/>
</table>
</file>

<file path=xl/tables/table2.xml><?xml version="1.0" encoding="utf-8"?>
<table xmlns="http://schemas.openxmlformats.org/spreadsheetml/2006/main" id="5" name="Tabla5" displayName="Tabla5" ref="B228:C235" totalsRowShown="0" dataDxfId="2">
  <autoFilter ref="B228:C235"/>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2.xm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9"/>
  <sheetViews>
    <sheetView topLeftCell="A10" zoomScale="110" zoomScaleNormal="110" workbookViewId="0">
      <selection activeCell="G16" sqref="G16"/>
    </sheetView>
  </sheetViews>
  <sheetFormatPr baseColWidth="10" defaultColWidth="11.42578125" defaultRowHeight="15" x14ac:dyDescent="0.25"/>
  <cols>
    <col min="1" max="1" width="2.85546875" style="83" customWidth="1"/>
    <col min="2" max="3" width="24.5703125" style="83" customWidth="1"/>
    <col min="4" max="4" width="16" style="83" customWidth="1"/>
    <col min="5" max="5" width="24.5703125" style="83" customWidth="1"/>
    <col min="6" max="6" width="27.5703125" style="83" customWidth="1"/>
    <col min="7" max="8" width="24.5703125" style="83" customWidth="1"/>
    <col min="9" max="16384" width="11.42578125" style="83"/>
  </cols>
  <sheetData>
    <row r="1" spans="2:8" ht="15.75" thickBot="1" x14ac:dyDescent="0.3"/>
    <row r="2" spans="2:8" ht="18" x14ac:dyDescent="0.25">
      <c r="B2" s="189" t="s">
        <v>148</v>
      </c>
      <c r="C2" s="190"/>
      <c r="D2" s="190"/>
      <c r="E2" s="190"/>
      <c r="F2" s="190"/>
      <c r="G2" s="190"/>
      <c r="H2" s="191"/>
    </row>
    <row r="3" spans="2:8" x14ac:dyDescent="0.25">
      <c r="B3" s="84"/>
      <c r="C3" s="85"/>
      <c r="D3" s="85"/>
      <c r="E3" s="85"/>
      <c r="F3" s="85"/>
      <c r="G3" s="85"/>
      <c r="H3" s="86"/>
    </row>
    <row r="4" spans="2:8" ht="63" customHeight="1" x14ac:dyDescent="0.25">
      <c r="B4" s="192" t="s">
        <v>172</v>
      </c>
      <c r="C4" s="193"/>
      <c r="D4" s="193"/>
      <c r="E4" s="193"/>
      <c r="F4" s="193"/>
      <c r="G4" s="193"/>
      <c r="H4" s="194"/>
    </row>
    <row r="5" spans="2:8" ht="63" customHeight="1" x14ac:dyDescent="0.25">
      <c r="B5" s="195"/>
      <c r="C5" s="196"/>
      <c r="D5" s="196"/>
      <c r="E5" s="196"/>
      <c r="F5" s="196"/>
      <c r="G5" s="196"/>
      <c r="H5" s="197"/>
    </row>
    <row r="6" spans="2:8" ht="16.5" x14ac:dyDescent="0.25">
      <c r="B6" s="198" t="s">
        <v>146</v>
      </c>
      <c r="C6" s="199"/>
      <c r="D6" s="199"/>
      <c r="E6" s="199"/>
      <c r="F6" s="199"/>
      <c r="G6" s="199"/>
      <c r="H6" s="200"/>
    </row>
    <row r="7" spans="2:8" ht="95.25" customHeight="1" x14ac:dyDescent="0.25">
      <c r="B7" s="208" t="s">
        <v>150</v>
      </c>
      <c r="C7" s="209"/>
      <c r="D7" s="209"/>
      <c r="E7" s="209"/>
      <c r="F7" s="209"/>
      <c r="G7" s="209"/>
      <c r="H7" s="210"/>
    </row>
    <row r="8" spans="2:8" ht="16.5" x14ac:dyDescent="0.25">
      <c r="B8" s="121"/>
      <c r="C8" s="122"/>
      <c r="D8" s="122"/>
      <c r="E8" s="122"/>
      <c r="F8" s="122"/>
      <c r="G8" s="122"/>
      <c r="H8" s="123"/>
    </row>
    <row r="9" spans="2:8" ht="16.5" customHeight="1" x14ac:dyDescent="0.25">
      <c r="B9" s="201" t="s">
        <v>165</v>
      </c>
      <c r="C9" s="202"/>
      <c r="D9" s="202"/>
      <c r="E9" s="202"/>
      <c r="F9" s="202"/>
      <c r="G9" s="202"/>
      <c r="H9" s="203"/>
    </row>
    <row r="10" spans="2:8" ht="44.45" customHeight="1" x14ac:dyDescent="0.25">
      <c r="B10" s="201"/>
      <c r="C10" s="202"/>
      <c r="D10" s="202"/>
      <c r="E10" s="202"/>
      <c r="F10" s="202"/>
      <c r="G10" s="202"/>
      <c r="H10" s="203"/>
    </row>
    <row r="11" spans="2:8" ht="15.75" thickBot="1" x14ac:dyDescent="0.3">
      <c r="B11" s="109"/>
      <c r="C11" s="112"/>
      <c r="D11" s="117"/>
      <c r="E11" s="118"/>
      <c r="F11" s="118"/>
      <c r="G11" s="119"/>
      <c r="H11" s="120"/>
    </row>
    <row r="12" spans="2:8" ht="15.75" thickTop="1" x14ac:dyDescent="0.25">
      <c r="B12" s="109"/>
      <c r="C12" s="204" t="s">
        <v>147</v>
      </c>
      <c r="D12" s="205"/>
      <c r="E12" s="206" t="s">
        <v>166</v>
      </c>
      <c r="F12" s="207"/>
      <c r="G12" s="112"/>
      <c r="H12" s="113"/>
    </row>
    <row r="13" spans="2:8" ht="35.450000000000003" customHeight="1" x14ac:dyDescent="0.25">
      <c r="B13" s="109"/>
      <c r="C13" s="176" t="s">
        <v>162</v>
      </c>
      <c r="D13" s="177"/>
      <c r="E13" s="178" t="s">
        <v>219</v>
      </c>
      <c r="F13" s="179"/>
      <c r="G13" s="112"/>
      <c r="H13" s="113"/>
    </row>
    <row r="14" spans="2:8" ht="35.450000000000003" customHeight="1" x14ac:dyDescent="0.25">
      <c r="B14" s="109"/>
      <c r="C14" s="176" t="s">
        <v>218</v>
      </c>
      <c r="D14" s="177"/>
      <c r="E14" s="178" t="s">
        <v>220</v>
      </c>
      <c r="F14" s="179"/>
      <c r="G14" s="112"/>
      <c r="H14" s="113"/>
    </row>
    <row r="15" spans="2:8" ht="25.9" customHeight="1" x14ac:dyDescent="0.25">
      <c r="B15" s="109"/>
      <c r="C15" s="176" t="s">
        <v>163</v>
      </c>
      <c r="D15" s="177"/>
      <c r="E15" s="178" t="s">
        <v>285</v>
      </c>
      <c r="F15" s="179"/>
      <c r="G15" s="112"/>
      <c r="H15" s="113"/>
    </row>
    <row r="16" spans="2:8" ht="25.15" customHeight="1" x14ac:dyDescent="0.25">
      <c r="B16" s="109"/>
      <c r="C16" s="176" t="s">
        <v>164</v>
      </c>
      <c r="D16" s="177"/>
      <c r="E16" s="178" t="s">
        <v>286</v>
      </c>
      <c r="F16" s="179"/>
      <c r="G16" s="112"/>
      <c r="H16" s="113"/>
    </row>
    <row r="17" spans="2:8" ht="21.2" customHeight="1" x14ac:dyDescent="0.25">
      <c r="B17" s="109"/>
      <c r="C17" s="176" t="s">
        <v>149</v>
      </c>
      <c r="D17" s="177"/>
      <c r="E17" s="178" t="s">
        <v>221</v>
      </c>
      <c r="F17" s="179"/>
      <c r="G17" s="112"/>
      <c r="H17" s="113"/>
    </row>
    <row r="18" spans="2:8" ht="83.45" customHeight="1" x14ac:dyDescent="0.25">
      <c r="B18" s="109"/>
      <c r="C18" s="174" t="s">
        <v>183</v>
      </c>
      <c r="D18" s="175"/>
      <c r="E18" s="172" t="s">
        <v>222</v>
      </c>
      <c r="F18" s="173"/>
      <c r="G18" s="112"/>
      <c r="H18" s="113"/>
    </row>
    <row r="19" spans="2:8" ht="83.45" customHeight="1" x14ac:dyDescent="0.25">
      <c r="B19" s="109"/>
      <c r="C19" s="149" t="s">
        <v>294</v>
      </c>
      <c r="D19" s="150"/>
      <c r="E19" s="172" t="s">
        <v>295</v>
      </c>
      <c r="F19" s="173"/>
      <c r="G19" s="112"/>
      <c r="H19" s="113"/>
    </row>
    <row r="20" spans="2:8" ht="34.5" customHeight="1" x14ac:dyDescent="0.25">
      <c r="B20" s="109"/>
      <c r="C20" s="174" t="s">
        <v>2</v>
      </c>
      <c r="D20" s="175"/>
      <c r="E20" s="172" t="s">
        <v>223</v>
      </c>
      <c r="F20" s="173"/>
      <c r="G20" s="112"/>
      <c r="H20" s="113"/>
    </row>
    <row r="21" spans="2:8" ht="87" customHeight="1" x14ac:dyDescent="0.25">
      <c r="B21" s="109"/>
      <c r="C21" s="180" t="s">
        <v>180</v>
      </c>
      <c r="D21" s="181"/>
      <c r="E21" s="172" t="s">
        <v>287</v>
      </c>
      <c r="F21" s="173"/>
      <c r="G21" s="112"/>
      <c r="H21" s="113"/>
    </row>
    <row r="22" spans="2:8" ht="103.35" customHeight="1" x14ac:dyDescent="0.25">
      <c r="B22" s="109"/>
      <c r="C22" s="180" t="s">
        <v>181</v>
      </c>
      <c r="D22" s="181"/>
      <c r="E22" s="172" t="s">
        <v>288</v>
      </c>
      <c r="F22" s="173"/>
      <c r="G22" s="112"/>
      <c r="H22" s="113"/>
    </row>
    <row r="23" spans="2:8" ht="72.75" customHeight="1" x14ac:dyDescent="0.25">
      <c r="B23" s="109"/>
      <c r="C23" s="180" t="s">
        <v>191</v>
      </c>
      <c r="D23" s="181"/>
      <c r="E23" s="172" t="s">
        <v>289</v>
      </c>
      <c r="F23" s="173"/>
      <c r="G23" s="112"/>
      <c r="H23" s="113"/>
    </row>
    <row r="24" spans="2:8" ht="72.75" customHeight="1" x14ac:dyDescent="0.25">
      <c r="B24" s="109"/>
      <c r="C24" s="180" t="s">
        <v>1</v>
      </c>
      <c r="D24" s="181"/>
      <c r="E24" s="172" t="s">
        <v>224</v>
      </c>
      <c r="F24" s="173"/>
      <c r="G24" s="112"/>
      <c r="H24" s="113"/>
    </row>
    <row r="25" spans="2:8" ht="85.7" customHeight="1" x14ac:dyDescent="0.25">
      <c r="B25" s="109"/>
      <c r="C25" s="180" t="s">
        <v>48</v>
      </c>
      <c r="D25" s="181"/>
      <c r="E25" s="172" t="s">
        <v>293</v>
      </c>
      <c r="F25" s="173"/>
      <c r="G25" s="112"/>
      <c r="H25" s="113"/>
    </row>
    <row r="26" spans="2:8" ht="106.15" customHeight="1" x14ac:dyDescent="0.25">
      <c r="B26" s="109"/>
      <c r="C26" s="180" t="s">
        <v>151</v>
      </c>
      <c r="D26" s="181"/>
      <c r="E26" s="172" t="s">
        <v>290</v>
      </c>
      <c r="F26" s="173"/>
      <c r="G26" s="112"/>
      <c r="H26" s="113"/>
    </row>
    <row r="27" spans="2:8" ht="87" customHeight="1" x14ac:dyDescent="0.25">
      <c r="B27" s="109"/>
      <c r="C27" s="174" t="s">
        <v>152</v>
      </c>
      <c r="D27" s="175"/>
      <c r="E27" s="172" t="s">
        <v>291</v>
      </c>
      <c r="F27" s="173"/>
      <c r="G27" s="112"/>
      <c r="H27" s="113"/>
    </row>
    <row r="28" spans="2:8" ht="42" customHeight="1" x14ac:dyDescent="0.25">
      <c r="B28" s="109"/>
      <c r="C28" s="174" t="s">
        <v>46</v>
      </c>
      <c r="D28" s="175"/>
      <c r="E28" s="172" t="s">
        <v>153</v>
      </c>
      <c r="F28" s="173"/>
      <c r="G28" s="112"/>
      <c r="H28" s="113"/>
    </row>
    <row r="29" spans="2:8" ht="30.6" customHeight="1" x14ac:dyDescent="0.25">
      <c r="B29" s="109"/>
      <c r="C29" s="174" t="s">
        <v>10</v>
      </c>
      <c r="D29" s="175"/>
      <c r="E29" s="172" t="s">
        <v>225</v>
      </c>
      <c r="F29" s="173"/>
      <c r="G29" s="112"/>
      <c r="H29" s="113"/>
    </row>
    <row r="30" spans="2:8" ht="59.25" customHeight="1" x14ac:dyDescent="0.25">
      <c r="B30" s="109"/>
      <c r="C30" s="174" t="s">
        <v>145</v>
      </c>
      <c r="D30" s="175"/>
      <c r="E30" s="172" t="s">
        <v>154</v>
      </c>
      <c r="F30" s="173"/>
      <c r="G30" s="112"/>
      <c r="H30" s="113"/>
    </row>
    <row r="31" spans="2:8" ht="27.75" customHeight="1" x14ac:dyDescent="0.25">
      <c r="B31" s="109"/>
      <c r="C31" s="174" t="s">
        <v>11</v>
      </c>
      <c r="D31" s="175"/>
      <c r="E31" s="172" t="s">
        <v>226</v>
      </c>
      <c r="F31" s="173"/>
      <c r="G31" s="112"/>
      <c r="H31" s="113"/>
    </row>
    <row r="32" spans="2:8" ht="41.45" customHeight="1" x14ac:dyDescent="0.25">
      <c r="B32" s="109"/>
      <c r="C32" s="174" t="s">
        <v>155</v>
      </c>
      <c r="D32" s="175"/>
      <c r="E32" s="172" t="s">
        <v>227</v>
      </c>
      <c r="F32" s="173"/>
      <c r="G32" s="112"/>
      <c r="H32" s="113"/>
    </row>
    <row r="33" spans="2:8" ht="35.450000000000003" customHeight="1" x14ac:dyDescent="0.25">
      <c r="B33" s="109"/>
      <c r="C33" s="174" t="s">
        <v>156</v>
      </c>
      <c r="D33" s="175"/>
      <c r="E33" s="172" t="s">
        <v>228</v>
      </c>
      <c r="F33" s="173"/>
      <c r="G33" s="112"/>
      <c r="H33" s="113"/>
    </row>
    <row r="34" spans="2:8" ht="30.2" customHeight="1" x14ac:dyDescent="0.25">
      <c r="B34" s="109"/>
      <c r="C34" s="174" t="s">
        <v>157</v>
      </c>
      <c r="D34" s="175"/>
      <c r="E34" s="172" t="s">
        <v>229</v>
      </c>
      <c r="F34" s="173"/>
      <c r="G34" s="112"/>
      <c r="H34" s="113"/>
    </row>
    <row r="35" spans="2:8" ht="35.450000000000003" customHeight="1" x14ac:dyDescent="0.25">
      <c r="B35" s="109"/>
      <c r="C35" s="174" t="s">
        <v>158</v>
      </c>
      <c r="D35" s="175"/>
      <c r="E35" s="172" t="s">
        <v>230</v>
      </c>
      <c r="F35" s="173"/>
      <c r="G35" s="112"/>
      <c r="H35" s="113"/>
    </row>
    <row r="36" spans="2:8" ht="31.7" customHeight="1" x14ac:dyDescent="0.25">
      <c r="B36" s="109"/>
      <c r="C36" s="174" t="s">
        <v>159</v>
      </c>
      <c r="D36" s="175"/>
      <c r="E36" s="172" t="s">
        <v>231</v>
      </c>
      <c r="F36" s="173"/>
      <c r="G36" s="112"/>
      <c r="H36" s="113"/>
    </row>
    <row r="37" spans="2:8" ht="35.450000000000003" customHeight="1" x14ac:dyDescent="0.25">
      <c r="B37" s="109"/>
      <c r="C37" s="174" t="s">
        <v>160</v>
      </c>
      <c r="D37" s="175"/>
      <c r="E37" s="172" t="s">
        <v>232</v>
      </c>
      <c r="F37" s="173"/>
      <c r="G37" s="112"/>
      <c r="H37" s="113"/>
    </row>
    <row r="38" spans="2:8" ht="101.45" customHeight="1" x14ac:dyDescent="0.25">
      <c r="B38" s="109"/>
      <c r="C38" s="174" t="s">
        <v>233</v>
      </c>
      <c r="D38" s="175"/>
      <c r="E38" s="172" t="s">
        <v>234</v>
      </c>
      <c r="F38" s="173"/>
      <c r="G38" s="112"/>
      <c r="H38" s="113"/>
    </row>
    <row r="39" spans="2:8" ht="29.25" customHeight="1" x14ac:dyDescent="0.25">
      <c r="B39" s="109"/>
      <c r="C39" s="174" t="s">
        <v>28</v>
      </c>
      <c r="D39" s="175"/>
      <c r="E39" s="172" t="s">
        <v>235</v>
      </c>
      <c r="F39" s="173"/>
      <c r="G39" s="112"/>
      <c r="H39" s="113"/>
    </row>
    <row r="40" spans="2:8" ht="82.5" customHeight="1" x14ac:dyDescent="0.25">
      <c r="B40" s="109"/>
      <c r="C40" s="174" t="s">
        <v>161</v>
      </c>
      <c r="D40" s="175"/>
      <c r="E40" s="172" t="s">
        <v>236</v>
      </c>
      <c r="F40" s="173"/>
      <c r="G40" s="112"/>
      <c r="H40" s="113"/>
    </row>
    <row r="41" spans="2:8" ht="46.5" customHeight="1" x14ac:dyDescent="0.25">
      <c r="B41" s="109"/>
      <c r="C41" s="174" t="s">
        <v>38</v>
      </c>
      <c r="D41" s="175"/>
      <c r="E41" s="172" t="s">
        <v>237</v>
      </c>
      <c r="F41" s="173"/>
      <c r="G41" s="112"/>
      <c r="H41" s="113"/>
    </row>
    <row r="42" spans="2:8" ht="6.75" customHeight="1" thickBot="1" x14ac:dyDescent="0.3">
      <c r="B42" s="109"/>
      <c r="C42" s="185"/>
      <c r="D42" s="186"/>
      <c r="E42" s="187"/>
      <c r="F42" s="188"/>
      <c r="G42" s="112"/>
      <c r="H42" s="113"/>
    </row>
    <row r="43" spans="2:8" ht="15.75" thickTop="1" x14ac:dyDescent="0.25">
      <c r="B43" s="109"/>
      <c r="C43" s="110"/>
      <c r="D43" s="110"/>
      <c r="E43" s="111"/>
      <c r="F43" s="111"/>
      <c r="G43" s="112"/>
      <c r="H43" s="113"/>
    </row>
    <row r="44" spans="2:8" ht="21.2" customHeight="1" x14ac:dyDescent="0.25">
      <c r="B44" s="182" t="s">
        <v>167</v>
      </c>
      <c r="C44" s="183"/>
      <c r="D44" s="183"/>
      <c r="E44" s="183"/>
      <c r="F44" s="183"/>
      <c r="G44" s="183"/>
      <c r="H44" s="184"/>
    </row>
    <row r="45" spans="2:8" ht="20.25" customHeight="1" x14ac:dyDescent="0.25">
      <c r="B45" s="182" t="s">
        <v>168</v>
      </c>
      <c r="C45" s="183"/>
      <c r="D45" s="183"/>
      <c r="E45" s="183"/>
      <c r="F45" s="183"/>
      <c r="G45" s="183"/>
      <c r="H45" s="184"/>
    </row>
    <row r="46" spans="2:8" ht="20.25" customHeight="1" x14ac:dyDescent="0.25">
      <c r="B46" s="182" t="s">
        <v>169</v>
      </c>
      <c r="C46" s="183"/>
      <c r="D46" s="183"/>
      <c r="E46" s="183"/>
      <c r="F46" s="183"/>
      <c r="G46" s="183"/>
      <c r="H46" s="184"/>
    </row>
    <row r="47" spans="2:8" ht="20.25" customHeight="1" x14ac:dyDescent="0.25">
      <c r="B47" s="182" t="s">
        <v>170</v>
      </c>
      <c r="C47" s="183"/>
      <c r="D47" s="183"/>
      <c r="E47" s="183"/>
      <c r="F47" s="183"/>
      <c r="G47" s="183"/>
      <c r="H47" s="184"/>
    </row>
    <row r="48" spans="2:8" x14ac:dyDescent="0.25">
      <c r="B48" s="182" t="s">
        <v>171</v>
      </c>
      <c r="C48" s="183"/>
      <c r="D48" s="183"/>
      <c r="E48" s="183"/>
      <c r="F48" s="183"/>
      <c r="G48" s="183"/>
      <c r="H48" s="184"/>
    </row>
    <row r="49" spans="2:8" ht="15.75" thickBot="1" x14ac:dyDescent="0.3">
      <c r="B49" s="114"/>
      <c r="C49" s="115"/>
      <c r="D49" s="115"/>
      <c r="E49" s="115"/>
      <c r="F49" s="115"/>
      <c r="G49" s="115"/>
      <c r="H49" s="116"/>
    </row>
  </sheetData>
  <mergeCells count="71">
    <mergeCell ref="E25:F25"/>
    <mergeCell ref="B2:H2"/>
    <mergeCell ref="B4:H5"/>
    <mergeCell ref="B6:H6"/>
    <mergeCell ref="B9:H10"/>
    <mergeCell ref="C12:D12"/>
    <mergeCell ref="E12:F12"/>
    <mergeCell ref="B7:H7"/>
    <mergeCell ref="C13:D13"/>
    <mergeCell ref="E13:F13"/>
    <mergeCell ref="C18:D18"/>
    <mergeCell ref="E18:F18"/>
    <mergeCell ref="C23:D23"/>
    <mergeCell ref="E23:F23"/>
    <mergeCell ref="E19:F19"/>
    <mergeCell ref="C14:D14"/>
    <mergeCell ref="E14:F14"/>
    <mergeCell ref="C22:D22"/>
    <mergeCell ref="C24:D24"/>
    <mergeCell ref="E21:F21"/>
    <mergeCell ref="E22:F22"/>
    <mergeCell ref="E24:F24"/>
    <mergeCell ref="C20:D20"/>
    <mergeCell ref="E20:F20"/>
    <mergeCell ref="B46:H46"/>
    <mergeCell ref="B47:H47"/>
    <mergeCell ref="B48:H48"/>
    <mergeCell ref="E27:F27"/>
    <mergeCell ref="C27:D27"/>
    <mergeCell ref="C28:D28"/>
    <mergeCell ref="E28:F28"/>
    <mergeCell ref="C31:D31"/>
    <mergeCell ref="E31:F31"/>
    <mergeCell ref="E38:F38"/>
    <mergeCell ref="C36:D36"/>
    <mergeCell ref="C35:D35"/>
    <mergeCell ref="E35:F35"/>
    <mergeCell ref="E36:F36"/>
    <mergeCell ref="C32:D32"/>
    <mergeCell ref="E32:F32"/>
    <mergeCell ref="C37:D37"/>
    <mergeCell ref="B44:H44"/>
    <mergeCell ref="C34:D34"/>
    <mergeCell ref="E34:F34"/>
    <mergeCell ref="E37:F37"/>
    <mergeCell ref="C38:D38"/>
    <mergeCell ref="C39:D39"/>
    <mergeCell ref="E39:F39"/>
    <mergeCell ref="C40:D40"/>
    <mergeCell ref="E40:F40"/>
    <mergeCell ref="B45:H45"/>
    <mergeCell ref="C42:D42"/>
    <mergeCell ref="E42:F42"/>
    <mergeCell ref="C41:D41"/>
    <mergeCell ref="E41:F41"/>
    <mergeCell ref="E33:F33"/>
    <mergeCell ref="C33:D33"/>
    <mergeCell ref="C17:D17"/>
    <mergeCell ref="E17:F17"/>
    <mergeCell ref="C15:D15"/>
    <mergeCell ref="E15:F15"/>
    <mergeCell ref="C16:D16"/>
    <mergeCell ref="E16:F16"/>
    <mergeCell ref="E26:F26"/>
    <mergeCell ref="C26:D26"/>
    <mergeCell ref="C30:D30"/>
    <mergeCell ref="E30:F30"/>
    <mergeCell ref="C29:D29"/>
    <mergeCell ref="E29:F29"/>
    <mergeCell ref="C25:D25"/>
    <mergeCell ref="C21:D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13</v>
      </c>
    </row>
    <row r="4" spans="1:1" x14ac:dyDescent="0.2">
      <c r="A4" s="9" t="s">
        <v>14</v>
      </c>
    </row>
    <row r="5" spans="1:1" x14ac:dyDescent="0.2">
      <c r="A5" s="9" t="s">
        <v>15</v>
      </c>
    </row>
    <row r="6" spans="1:1" x14ac:dyDescent="0.2">
      <c r="A6" s="9" t="s">
        <v>9</v>
      </c>
    </row>
    <row r="7" spans="1:1" x14ac:dyDescent="0.2">
      <c r="A7" s="9" t="s">
        <v>8</v>
      </c>
    </row>
    <row r="8" spans="1:1" x14ac:dyDescent="0.2">
      <c r="A8" s="9" t="s">
        <v>18</v>
      </c>
    </row>
    <row r="9" spans="1:1" x14ac:dyDescent="0.2">
      <c r="A9" s="9" t="s">
        <v>19</v>
      </c>
    </row>
    <row r="10" spans="1:1" x14ac:dyDescent="0.2">
      <c r="A10" s="9" t="s">
        <v>21</v>
      </c>
    </row>
    <row r="11" spans="1:1" x14ac:dyDescent="0.2">
      <c r="A11" s="9" t="s">
        <v>22</v>
      </c>
    </row>
    <row r="12" spans="1:1" x14ac:dyDescent="0.2">
      <c r="A12" s="9" t="s">
        <v>24</v>
      </c>
    </row>
    <row r="13" spans="1:1" x14ac:dyDescent="0.2">
      <c r="A13" s="9" t="s">
        <v>25</v>
      </c>
    </row>
    <row r="14" spans="1:1" x14ac:dyDescent="0.2">
      <c r="A14" s="9" t="s">
        <v>26</v>
      </c>
    </row>
    <row r="16" spans="1:1" x14ac:dyDescent="0.2">
      <c r="A16" s="9" t="s">
        <v>29</v>
      </c>
    </row>
    <row r="17" spans="1:1" x14ac:dyDescent="0.2">
      <c r="A17" s="9" t="s">
        <v>30</v>
      </c>
    </row>
    <row r="18" spans="1:1" x14ac:dyDescent="0.2">
      <c r="A18" s="9" t="s">
        <v>31</v>
      </c>
    </row>
    <row r="20" spans="1:1" x14ac:dyDescent="0.2">
      <c r="A20" s="9" t="s">
        <v>39</v>
      </c>
    </row>
    <row r="21" spans="1:1" x14ac:dyDescent="0.2">
      <c r="A21" s="9"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S79"/>
  <sheetViews>
    <sheetView tabSelected="1" zoomScaleNormal="100" workbookViewId="0">
      <pane xSplit="4" ySplit="10" topLeftCell="P57" activePane="bottomRight" state="frozen"/>
      <selection pane="topRight" activeCell="E1" sqref="E1"/>
      <selection pane="bottomLeft" activeCell="A11" sqref="A11"/>
      <selection pane="bottomRight" activeCell="W58" sqref="W58"/>
    </sheetView>
  </sheetViews>
  <sheetFormatPr baseColWidth="10" defaultColWidth="11.42578125" defaultRowHeight="16.5" x14ac:dyDescent="0.3"/>
  <cols>
    <col min="1" max="1" width="4" style="2" bestFit="1" customWidth="1"/>
    <col min="2" max="3" width="27.42578125" style="2" customWidth="1"/>
    <col min="4" max="5" width="36.140625" style="2" customWidth="1"/>
    <col min="6" max="6" width="32.42578125" style="1" customWidth="1"/>
    <col min="7" max="8" width="36.140625" style="2" customWidth="1"/>
    <col min="9" max="9" width="19" style="5" customWidth="1"/>
    <col min="10" max="10" width="17.85546875" style="1" customWidth="1"/>
    <col min="11" max="11" width="16.42578125" style="1" customWidth="1"/>
    <col min="12" max="12" width="6.42578125" style="1" bestFit="1" customWidth="1"/>
    <col min="13" max="13" width="27.42578125" style="1" bestFit="1" customWidth="1"/>
    <col min="14" max="14" width="30.42578125" style="1" hidden="1" customWidth="1"/>
    <col min="15" max="15" width="17.42578125" style="1" customWidth="1"/>
    <col min="16" max="16" width="6.42578125" style="1" bestFit="1" customWidth="1"/>
    <col min="17" max="17" width="16" style="1" customWidth="1"/>
    <col min="18" max="18" width="5.85546875" style="1" customWidth="1"/>
    <col min="19" max="19" width="31" style="1" customWidth="1"/>
    <col min="20" max="20" width="15.140625" style="1" bestFit="1" customWidth="1"/>
    <col min="21" max="21" width="6.85546875" style="1" customWidth="1"/>
    <col min="22" max="22" width="5" style="1" customWidth="1"/>
    <col min="23" max="23" width="5.42578125" style="1" customWidth="1"/>
    <col min="24" max="24" width="7.140625" style="1" customWidth="1"/>
    <col min="25" max="25" width="6.5703125" style="1" customWidth="1"/>
    <col min="26" max="26" width="7.42578125" style="1" customWidth="1"/>
    <col min="27" max="27" width="38.42578125" style="1" customWidth="1"/>
    <col min="28" max="28" width="8.5703125" style="1" customWidth="1"/>
    <col min="29" max="29" width="10.42578125" style="1" customWidth="1"/>
    <col min="30" max="30" width="9.42578125" style="1" customWidth="1"/>
    <col min="31" max="31" width="9.140625" style="1" customWidth="1"/>
    <col min="32" max="32" width="8.42578125" style="1" customWidth="1"/>
    <col min="33" max="33" width="7.42578125" style="1" customWidth="1"/>
    <col min="34" max="34" width="23" style="1" customWidth="1"/>
    <col min="35" max="35" width="18.85546875" style="1" customWidth="1"/>
    <col min="36" max="36" width="16.85546875" style="1" customWidth="1"/>
    <col min="37" max="37" width="14.85546875" style="1" customWidth="1"/>
    <col min="38" max="38" width="18.42578125" style="1" customWidth="1"/>
    <col min="39" max="39" width="21" style="1" customWidth="1"/>
    <col min="40" max="16384" width="11.42578125" style="1"/>
  </cols>
  <sheetData>
    <row r="1" spans="1:71" ht="16.5" hidden="1" customHeight="1" x14ac:dyDescent="0.3">
      <c r="A1" s="242" t="s">
        <v>292</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4"/>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1" ht="24" hidden="1" customHeight="1" x14ac:dyDescent="0.3">
      <c r="A2" s="245"/>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idden="1" x14ac:dyDescent="0.3">
      <c r="A3" s="27"/>
      <c r="B3" s="28"/>
      <c r="C3" s="28"/>
      <c r="D3" s="27"/>
      <c r="E3" s="27"/>
      <c r="F3" s="7"/>
      <c r="G3" s="27"/>
      <c r="H3" s="27"/>
      <c r="I3" s="26"/>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26.45" hidden="1" customHeight="1" x14ac:dyDescent="0.3">
      <c r="A4" s="281" t="s">
        <v>41</v>
      </c>
      <c r="B4" s="282"/>
      <c r="C4" s="283"/>
      <c r="D4" s="275" t="s">
        <v>265</v>
      </c>
      <c r="E4" s="276"/>
      <c r="F4" s="276"/>
      <c r="G4" s="276"/>
      <c r="H4" s="276"/>
      <c r="I4" s="276"/>
      <c r="J4" s="276"/>
      <c r="K4" s="276"/>
      <c r="L4" s="276"/>
      <c r="M4" s="276"/>
      <c r="N4" s="276"/>
      <c r="O4" s="276"/>
      <c r="P4" s="276"/>
      <c r="Q4" s="277"/>
      <c r="R4" s="241"/>
      <c r="S4" s="241"/>
      <c r="T4" s="241"/>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26.45" hidden="1" customHeight="1" x14ac:dyDescent="0.3">
      <c r="A5" s="281" t="s">
        <v>173</v>
      </c>
      <c r="B5" s="282"/>
      <c r="C5" s="283"/>
      <c r="D5" s="278" t="s">
        <v>268</v>
      </c>
      <c r="E5" s="279"/>
      <c r="F5" s="279"/>
      <c r="G5" s="279"/>
      <c r="H5" s="279"/>
      <c r="I5" s="279"/>
      <c r="J5" s="279"/>
      <c r="K5" s="279"/>
      <c r="L5" s="279"/>
      <c r="M5" s="279"/>
      <c r="N5" s="279"/>
      <c r="O5" s="279"/>
      <c r="P5" s="279"/>
      <c r="Q5" s="280"/>
      <c r="R5" s="241"/>
      <c r="S5" s="241"/>
      <c r="T5" s="241"/>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21" hidden="1" customHeight="1" x14ac:dyDescent="0.3">
      <c r="A6" s="281" t="s">
        <v>115</v>
      </c>
      <c r="B6" s="282"/>
      <c r="C6" s="283"/>
      <c r="D6" s="263" t="s">
        <v>296</v>
      </c>
      <c r="E6" s="264"/>
      <c r="F6" s="264"/>
      <c r="G6" s="264"/>
      <c r="H6" s="264"/>
      <c r="I6" s="264"/>
      <c r="J6" s="264"/>
      <c r="K6" s="264"/>
      <c r="L6" s="264"/>
      <c r="M6" s="264"/>
      <c r="N6" s="264"/>
      <c r="O6" s="264"/>
      <c r="P6" s="264"/>
      <c r="Q6" s="265"/>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row>
    <row r="7" spans="1:71" ht="24.75" hidden="1" customHeight="1" x14ac:dyDescent="0.3">
      <c r="A7" s="281" t="s">
        <v>42</v>
      </c>
      <c r="B7" s="282"/>
      <c r="C7" s="283"/>
      <c r="D7" s="263" t="s">
        <v>297</v>
      </c>
      <c r="E7" s="264"/>
      <c r="F7" s="264"/>
      <c r="G7" s="264"/>
      <c r="H7" s="264"/>
      <c r="I7" s="264"/>
      <c r="J7" s="264"/>
      <c r="K7" s="264"/>
      <c r="L7" s="264"/>
      <c r="M7" s="264"/>
      <c r="N7" s="264"/>
      <c r="O7" s="264"/>
      <c r="P7" s="264"/>
      <c r="Q7" s="265"/>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row>
    <row r="8" spans="1:71" ht="41.45" customHeight="1" x14ac:dyDescent="0.3">
      <c r="A8" s="248" t="s">
        <v>123</v>
      </c>
      <c r="B8" s="249"/>
      <c r="C8" s="249"/>
      <c r="D8" s="249"/>
      <c r="E8" s="249"/>
      <c r="F8" s="249"/>
      <c r="G8" s="249"/>
      <c r="H8" s="249"/>
      <c r="I8" s="249"/>
      <c r="J8" s="250"/>
      <c r="K8" s="251" t="s">
        <v>124</v>
      </c>
      <c r="L8" s="252"/>
      <c r="M8" s="252"/>
      <c r="N8" s="252"/>
      <c r="O8" s="252"/>
      <c r="P8" s="252"/>
      <c r="Q8" s="253"/>
      <c r="R8" s="251" t="s">
        <v>125</v>
      </c>
      <c r="S8" s="252"/>
      <c r="T8" s="252"/>
      <c r="U8" s="252"/>
      <c r="V8" s="252"/>
      <c r="W8" s="252"/>
      <c r="X8" s="252"/>
      <c r="Y8" s="252"/>
      <c r="Z8" s="253"/>
      <c r="AA8" s="251" t="s">
        <v>126</v>
      </c>
      <c r="AB8" s="252"/>
      <c r="AC8" s="252"/>
      <c r="AD8" s="252"/>
      <c r="AE8" s="252"/>
      <c r="AF8" s="252"/>
      <c r="AG8" s="253"/>
      <c r="AH8" s="251" t="s">
        <v>33</v>
      </c>
      <c r="AI8" s="252"/>
      <c r="AJ8" s="252"/>
      <c r="AK8" s="252"/>
      <c r="AL8" s="252"/>
      <c r="AM8" s="253"/>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row>
    <row r="9" spans="1:71" ht="16.5" customHeight="1" x14ac:dyDescent="0.3">
      <c r="A9" s="255" t="s">
        <v>0</v>
      </c>
      <c r="B9" s="258" t="s">
        <v>182</v>
      </c>
      <c r="C9" s="257" t="s">
        <v>284</v>
      </c>
      <c r="D9" s="260" t="s">
        <v>2</v>
      </c>
      <c r="E9" s="257" t="s">
        <v>180</v>
      </c>
      <c r="F9" s="258" t="s">
        <v>181</v>
      </c>
      <c r="G9" s="259" t="s">
        <v>191</v>
      </c>
      <c r="H9" s="259" t="s">
        <v>1</v>
      </c>
      <c r="I9" s="257" t="s">
        <v>48</v>
      </c>
      <c r="J9" s="258" t="s">
        <v>119</v>
      </c>
      <c r="K9" s="272" t="s">
        <v>32</v>
      </c>
      <c r="L9" s="273" t="s">
        <v>4</v>
      </c>
      <c r="M9" s="257" t="s">
        <v>84</v>
      </c>
      <c r="N9" s="257" t="s">
        <v>89</v>
      </c>
      <c r="O9" s="274" t="s">
        <v>43</v>
      </c>
      <c r="P9" s="273" t="s">
        <v>4</v>
      </c>
      <c r="Q9" s="258" t="s">
        <v>46</v>
      </c>
      <c r="R9" s="261" t="s">
        <v>10</v>
      </c>
      <c r="S9" s="254" t="s">
        <v>145</v>
      </c>
      <c r="T9" s="257" t="s">
        <v>11</v>
      </c>
      <c r="U9" s="254" t="s">
        <v>7</v>
      </c>
      <c r="V9" s="254"/>
      <c r="W9" s="254"/>
      <c r="X9" s="254"/>
      <c r="Y9" s="254"/>
      <c r="Z9" s="254"/>
      <c r="AA9" s="266" t="s">
        <v>122</v>
      </c>
      <c r="AB9" s="266" t="s">
        <v>44</v>
      </c>
      <c r="AC9" s="266" t="s">
        <v>4</v>
      </c>
      <c r="AD9" s="266" t="s">
        <v>45</v>
      </c>
      <c r="AE9" s="266" t="s">
        <v>4</v>
      </c>
      <c r="AF9" s="266" t="s">
        <v>47</v>
      </c>
      <c r="AG9" s="261" t="s">
        <v>28</v>
      </c>
      <c r="AH9" s="254" t="s">
        <v>33</v>
      </c>
      <c r="AI9" s="254" t="s">
        <v>34</v>
      </c>
      <c r="AJ9" s="254" t="s">
        <v>35</v>
      </c>
      <c r="AK9" s="254" t="s">
        <v>37</v>
      </c>
      <c r="AL9" s="254" t="s">
        <v>36</v>
      </c>
      <c r="AM9" s="254" t="s">
        <v>38</v>
      </c>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row>
    <row r="10" spans="1:71" s="4" customFormat="1" ht="94.7" customHeight="1" x14ac:dyDescent="0.25">
      <c r="A10" s="256"/>
      <c r="B10" s="254"/>
      <c r="C10" s="258"/>
      <c r="D10" s="260"/>
      <c r="E10" s="258"/>
      <c r="F10" s="254"/>
      <c r="G10" s="260"/>
      <c r="H10" s="260"/>
      <c r="I10" s="258"/>
      <c r="J10" s="254"/>
      <c r="K10" s="258"/>
      <c r="L10" s="245"/>
      <c r="M10" s="258"/>
      <c r="N10" s="258"/>
      <c r="O10" s="245"/>
      <c r="P10" s="245"/>
      <c r="Q10" s="254"/>
      <c r="R10" s="262"/>
      <c r="S10" s="254"/>
      <c r="T10" s="258"/>
      <c r="U10" s="162" t="s">
        <v>12</v>
      </c>
      <c r="V10" s="162" t="s">
        <v>16</v>
      </c>
      <c r="W10" s="162" t="s">
        <v>27</v>
      </c>
      <c r="X10" s="162" t="s">
        <v>17</v>
      </c>
      <c r="Y10" s="162" t="s">
        <v>20</v>
      </c>
      <c r="Z10" s="162" t="s">
        <v>23</v>
      </c>
      <c r="AA10" s="266"/>
      <c r="AB10" s="266"/>
      <c r="AC10" s="266"/>
      <c r="AD10" s="266"/>
      <c r="AE10" s="266"/>
      <c r="AF10" s="266"/>
      <c r="AG10" s="262"/>
      <c r="AH10" s="254"/>
      <c r="AI10" s="254"/>
      <c r="AJ10" s="254"/>
      <c r="AK10" s="254"/>
      <c r="AL10" s="254"/>
      <c r="AM10" s="25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row>
    <row r="11" spans="1:71" s="3" customFormat="1" ht="68.45" customHeight="1" x14ac:dyDescent="0.25">
      <c r="A11" s="211">
        <v>1</v>
      </c>
      <c r="B11" s="214" t="s">
        <v>184</v>
      </c>
      <c r="C11" s="214" t="s">
        <v>319</v>
      </c>
      <c r="D11" s="214" t="s">
        <v>116</v>
      </c>
      <c r="E11" s="139" t="s">
        <v>298</v>
      </c>
      <c r="F11" s="214" t="s">
        <v>300</v>
      </c>
      <c r="G11" s="226" t="s">
        <v>193</v>
      </c>
      <c r="H11" s="226" t="s">
        <v>303</v>
      </c>
      <c r="I11" s="214" t="s">
        <v>216</v>
      </c>
      <c r="J11" s="238">
        <v>12</v>
      </c>
      <c r="K11" s="223" t="str">
        <f>IF(J11&lt;=0,"",IF(J11&lt;=5,"Muy Baja",IF(J11&lt;=24,"Baja",IF(J11&lt;=150,"Media",IF(J11&lt;=300,"Alta","Muy Alta")))))</f>
        <v>Baja</v>
      </c>
      <c r="L11" s="232">
        <f>IF(K11="","",IF(K11="Muy Baja",0.2,IF(K11="Baja",0.4,IF(K11="Media",0.6,IF(K11="Alta",0.8,IF(K11="Muy Alta",1,))))))</f>
        <v>0.4</v>
      </c>
      <c r="M11" s="220" t="s">
        <v>135</v>
      </c>
      <c r="N11" s="232" t="str">
        <f ca="1">IF(NOT(ISERROR(MATCH(M11,'Tabla Impacto'!$B$221:$B$223,0))),'Tabla Impacto'!$F$223&amp;"Por favor no seleccionar los criterios de impacto(Afectación Económica o presupuestal y Pérdida Reputacional)",M11)</f>
        <v xml:space="preserve">     El riesgo afecta la imagen de alguna área de la organización</v>
      </c>
      <c r="O11" s="223" t="str">
        <f ca="1">IF(OR(N11='Tabla Impacto'!$C$11,N11='Tabla Impacto'!$D$11),"Leve",IF(OR(N11='Tabla Impacto'!$C$12,N11='Tabla Impacto'!$D$12),"Menor",IF(OR(N11='Tabla Impacto'!$C$13,N11='Tabla Impacto'!$D$13),"Moderado",IF(OR(N11='Tabla Impacto'!$C$14,N11='Tabla Impacto'!$D$14),"Mayor",IF(OR(N11='Tabla Impacto'!$C$15,N11='Tabla Impacto'!$D$15),"Catastrófico","")))))</f>
        <v>Leve</v>
      </c>
      <c r="P11" s="232">
        <f ca="1">IF(O11="","",IF(O11="Leve",0.2,IF(O11="Menor",0.4,IF(O11="Moderado",0.6,IF(O11="Mayor",0.8,IF(O11="Catastrófico",1,))))))</f>
        <v>0.2</v>
      </c>
      <c r="Q11" s="235" t="str">
        <f ca="1">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Bajo</v>
      </c>
      <c r="R11" s="124">
        <v>1</v>
      </c>
      <c r="S11" s="169" t="s">
        <v>301</v>
      </c>
      <c r="T11" s="125" t="str">
        <f>IF(OR(U11="Preventivo",U11="Detectivo"),"Probabilidad",IF(U11="Correctivo","Impacto",""))</f>
        <v>Probabilidad</v>
      </c>
      <c r="U11" s="126" t="s">
        <v>13</v>
      </c>
      <c r="V11" s="126" t="s">
        <v>9</v>
      </c>
      <c r="W11" s="127" t="str">
        <f>IF(AND(U11="Preventivo",V11="Automático"),"50%",IF(AND(U11="Preventivo",V11="Manual"),"40%",IF(AND(U11="Detectivo",V11="Automático"),"40%",IF(AND(U11="Detectivo",V11="Manual"),"30%",IF(AND(U11="Correctivo",V11="Automático"),"35%",IF(AND(U11="Correctivo",V11="Manual"),"25%",""))))))</f>
        <v>50%</v>
      </c>
      <c r="X11" s="126" t="s">
        <v>18</v>
      </c>
      <c r="Y11" s="126" t="s">
        <v>21</v>
      </c>
      <c r="Z11" s="126" t="s">
        <v>111</v>
      </c>
      <c r="AA11" s="128">
        <f>IFERROR(IF(T11="Probabilidad",(L11-(+L11*W11)),IF(T11="Impacto",L11,"")),"")</f>
        <v>0.2</v>
      </c>
      <c r="AB11" s="129" t="str">
        <f>IFERROR(IF(AA11="","",IF(AA11&lt;=0.2,"Muy Baja",IF(AA11&lt;=0.4,"Baja",IF(AA11&lt;=0.6,"Media",IF(AA11&lt;=0.8,"Alta","Muy Alta"))))),"")</f>
        <v>Muy Baja</v>
      </c>
      <c r="AC11" s="130">
        <f>+AA11</f>
        <v>0.2</v>
      </c>
      <c r="AD11" s="129" t="str">
        <f ca="1">IFERROR(IF(AE11="","",IF(AE11&lt;=0.2,"Leve",IF(AE11&lt;=0.4,"Menor",IF(AE11&lt;=0.6,"Moderado",IF(AE11&lt;=0.8,"Mayor","Catastrófico"))))),"")</f>
        <v>Leve</v>
      </c>
      <c r="AE11" s="130">
        <f ca="1">IFERROR(IF(T11="Impacto",(P11-(+P11*W11)),IF(T11="Probabilidad",P11,"")),"")</f>
        <v>0.2</v>
      </c>
      <c r="AF11" s="131" t="str">
        <f ca="1">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Bajo</v>
      </c>
      <c r="AG11" s="132" t="s">
        <v>30</v>
      </c>
      <c r="AH11" s="133"/>
      <c r="AI11" s="134"/>
      <c r="AJ11" s="135"/>
      <c r="AK11" s="135"/>
      <c r="AL11" s="133"/>
      <c r="AM11" s="134"/>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row>
    <row r="12" spans="1:71" ht="68.45" customHeight="1" x14ac:dyDescent="0.3">
      <c r="A12" s="212"/>
      <c r="B12" s="215"/>
      <c r="C12" s="215"/>
      <c r="D12" s="215"/>
      <c r="E12" s="140"/>
      <c r="F12" s="215"/>
      <c r="G12" s="227"/>
      <c r="H12" s="227"/>
      <c r="I12" s="215"/>
      <c r="J12" s="239"/>
      <c r="K12" s="224"/>
      <c r="L12" s="233"/>
      <c r="M12" s="221"/>
      <c r="N12" s="233">
        <f ca="1">IF(NOT(ISERROR(MATCH(M12,_xlfn.ANCHORARRAY(H23),0))),L25&amp;"Por favor no seleccionar los criterios de impacto",M12)</f>
        <v>0</v>
      </c>
      <c r="O12" s="224"/>
      <c r="P12" s="233"/>
      <c r="Q12" s="236"/>
      <c r="R12" s="124">
        <v>2</v>
      </c>
      <c r="S12" s="169" t="s">
        <v>302</v>
      </c>
      <c r="T12" s="125" t="str">
        <f t="shared" ref="T12:T52" si="0">IF(OR(U12="Preventivo",U12="Detectivo"),"Probabilidad",IF(U12="Correctivo","Impacto",""))</f>
        <v>Probabilidad</v>
      </c>
      <c r="U12" s="126" t="s">
        <v>13</v>
      </c>
      <c r="V12" s="126" t="s">
        <v>9</v>
      </c>
      <c r="W12" s="127" t="str">
        <f t="shared" ref="W12:W16" si="1">IF(AND(U12="Preventivo",V12="Automático"),"50%",IF(AND(U12="Preventivo",V12="Manual"),"40%",IF(AND(U12="Detectivo",V12="Automático"),"40%",IF(AND(U12="Detectivo",V12="Manual"),"30%",IF(AND(U12="Correctivo",V12="Automático"),"35%",IF(AND(U12="Correctivo",V12="Manual"),"25%",""))))))</f>
        <v>50%</v>
      </c>
      <c r="X12" s="126" t="s">
        <v>18</v>
      </c>
      <c r="Y12" s="126" t="s">
        <v>21</v>
      </c>
      <c r="Z12" s="126" t="s">
        <v>111</v>
      </c>
      <c r="AA12" s="128">
        <f>IFERROR(IF(AND(T11="Probabilidad",T12="Probabilidad"),(AC11-(+AC11*W12)),IF(T12="Probabilidad",(L11-(+L11*W12)),IF(T12="Impacto",AC11,""))),"")</f>
        <v>0.1</v>
      </c>
      <c r="AB12" s="129" t="str">
        <f t="shared" ref="AB12:AB52" si="2">IFERROR(IF(AA12="","",IF(AA12&lt;=0.2,"Muy Baja",IF(AA12&lt;=0.4,"Baja",IF(AA12&lt;=0.6,"Media",IF(AA12&lt;=0.8,"Alta","Muy Alta"))))),"")</f>
        <v>Muy Baja</v>
      </c>
      <c r="AC12" s="130">
        <f t="shared" ref="AC12:AC16" si="3">+AA12</f>
        <v>0.1</v>
      </c>
      <c r="AD12" s="129" t="str">
        <f t="shared" ref="AD12:AD52" ca="1" si="4">IFERROR(IF(AE12="","",IF(AE12&lt;=0.2,"Leve",IF(AE12&lt;=0.4,"Menor",IF(AE12&lt;=0.6,"Moderado",IF(AE12&lt;=0.8,"Mayor","Catastrófico"))))),"")</f>
        <v>Leve</v>
      </c>
      <c r="AE12" s="138">
        <f ca="1">IFERROR(IF(AND(T11="Impacto",T12="Impacto"),(AE11-(+AE11*W12)),IF(T12="Impacto",(P11-(+P11*W12)),IF(T12="Probabilidad",AE11,""))),"")</f>
        <v>0.2</v>
      </c>
      <c r="AF12" s="131" t="str">
        <f t="shared" ref="AF12:AF16" ca="1" si="5">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Bajo</v>
      </c>
      <c r="AG12" s="132" t="s">
        <v>30</v>
      </c>
      <c r="AH12" s="133"/>
      <c r="AI12" s="134"/>
      <c r="AJ12" s="135"/>
      <c r="AK12" s="135"/>
      <c r="AL12" s="133"/>
      <c r="AM12" s="134"/>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row>
    <row r="13" spans="1:71" ht="68.45" customHeight="1" x14ac:dyDescent="0.3">
      <c r="A13" s="212"/>
      <c r="B13" s="215"/>
      <c r="C13" s="215"/>
      <c r="D13" s="215"/>
      <c r="E13" s="164"/>
      <c r="F13" s="215"/>
      <c r="G13" s="227"/>
      <c r="H13" s="227"/>
      <c r="I13" s="215"/>
      <c r="J13" s="239"/>
      <c r="K13" s="224"/>
      <c r="L13" s="233"/>
      <c r="M13" s="221"/>
      <c r="N13" s="233">
        <f ca="1">IF(NOT(ISERROR(MATCH(M13,_xlfn.ANCHORARRAY(H24),0))),L26&amp;"Por favor no seleccionar los criterios de impacto",M13)</f>
        <v>0</v>
      </c>
      <c r="O13" s="224"/>
      <c r="P13" s="233"/>
      <c r="Q13" s="236"/>
      <c r="R13" s="124">
        <v>3</v>
      </c>
      <c r="S13" s="136"/>
      <c r="T13" s="125" t="str">
        <f t="shared" si="0"/>
        <v/>
      </c>
      <c r="U13" s="126"/>
      <c r="V13" s="126"/>
      <c r="W13" s="127" t="str">
        <f t="shared" si="1"/>
        <v/>
      </c>
      <c r="X13" s="126"/>
      <c r="Y13" s="126"/>
      <c r="Z13" s="126"/>
      <c r="AA13" s="128" t="str">
        <f>IFERROR(IF(AND(T12="Probabilidad",T13="Probabilidad"),(AC12-(+AC12*W13)),IF(AND(T12="Impacto",T13="Probabilidad"),(AC11-(+AC11*W13)),IF(T13="Impacto",AC12,""))),"")</f>
        <v/>
      </c>
      <c r="AB13" s="129" t="str">
        <f t="shared" si="2"/>
        <v/>
      </c>
      <c r="AC13" s="130" t="str">
        <f t="shared" si="3"/>
        <v/>
      </c>
      <c r="AD13" s="129" t="str">
        <f t="shared" si="4"/>
        <v/>
      </c>
      <c r="AE13" s="138" t="str">
        <f>IFERROR(IF(AND(T12="Impacto",T13="Impacto"),(AE12-(+AE12*W13)),IF(AND(T12="Probabilidad",T13="Impacto"),(AE11-(+AE11*W13)),IF(T13="Probabilidad",AE12,""))),"")</f>
        <v/>
      </c>
      <c r="AF13" s="131" t="str">
        <f t="shared" si="5"/>
        <v/>
      </c>
      <c r="AG13" s="132"/>
      <c r="AH13" s="133"/>
      <c r="AI13" s="134"/>
      <c r="AJ13" s="135"/>
      <c r="AK13" s="135"/>
      <c r="AL13" s="133"/>
      <c r="AM13" s="134"/>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row>
    <row r="14" spans="1:71" ht="68.45" customHeight="1" x14ac:dyDescent="0.3">
      <c r="A14" s="212"/>
      <c r="B14" s="215"/>
      <c r="C14" s="215"/>
      <c r="D14" s="215"/>
      <c r="E14" s="140"/>
      <c r="F14" s="215"/>
      <c r="G14" s="227"/>
      <c r="H14" s="227"/>
      <c r="I14" s="215"/>
      <c r="J14" s="239"/>
      <c r="K14" s="224"/>
      <c r="L14" s="233"/>
      <c r="M14" s="221"/>
      <c r="N14" s="233">
        <f ca="1">IF(NOT(ISERROR(MATCH(M14,_xlfn.ANCHORARRAY(H25),0))),L27&amp;"Por favor no seleccionar los criterios de impacto",M14)</f>
        <v>0</v>
      </c>
      <c r="O14" s="224"/>
      <c r="P14" s="233"/>
      <c r="Q14" s="236"/>
      <c r="R14" s="124">
        <v>4</v>
      </c>
      <c r="S14" s="169"/>
      <c r="T14" s="125" t="str">
        <f t="shared" si="0"/>
        <v/>
      </c>
      <c r="U14" s="126"/>
      <c r="V14" s="126"/>
      <c r="W14" s="127" t="str">
        <f t="shared" si="1"/>
        <v/>
      </c>
      <c r="X14" s="126"/>
      <c r="Y14" s="126"/>
      <c r="Z14" s="126"/>
      <c r="AA14" s="128" t="str">
        <f t="shared" ref="AA14:AA16" si="6">IFERROR(IF(AND(T13="Probabilidad",T14="Probabilidad"),(AC13-(+AC13*W14)),IF(AND(T13="Impacto",T14="Probabilidad"),(AC12-(+AC12*W14)),IF(T14="Impacto",AC13,""))),"")</f>
        <v/>
      </c>
      <c r="AB14" s="129" t="str">
        <f t="shared" si="2"/>
        <v/>
      </c>
      <c r="AC14" s="130" t="str">
        <f t="shared" si="3"/>
        <v/>
      </c>
      <c r="AD14" s="129" t="str">
        <f t="shared" si="4"/>
        <v/>
      </c>
      <c r="AE14" s="138" t="str">
        <f t="shared" ref="AE14:AE16" si="7">IFERROR(IF(AND(T13="Impacto",T14="Impacto"),(AE13-(+AE13*W14)),IF(AND(T13="Probabilidad",T14="Impacto"),(AE12-(+AE12*W14)),IF(T14="Probabilidad",AE13,""))),"")</f>
        <v/>
      </c>
      <c r="AF14" s="131" t="str">
        <f>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
      </c>
      <c r="AG14" s="132"/>
      <c r="AH14" s="133"/>
      <c r="AI14" s="134"/>
      <c r="AJ14" s="135"/>
      <c r="AK14" s="135"/>
      <c r="AL14" s="133"/>
      <c r="AM14" s="134"/>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row>
    <row r="15" spans="1:71" ht="68.45" customHeight="1" x14ac:dyDescent="0.3">
      <c r="A15" s="212"/>
      <c r="B15" s="215"/>
      <c r="C15" s="215"/>
      <c r="D15" s="215"/>
      <c r="E15" s="140"/>
      <c r="F15" s="215"/>
      <c r="G15" s="227"/>
      <c r="H15" s="227"/>
      <c r="I15" s="215"/>
      <c r="J15" s="239"/>
      <c r="K15" s="224"/>
      <c r="L15" s="233"/>
      <c r="M15" s="221"/>
      <c r="N15" s="233">
        <f ca="1">IF(NOT(ISERROR(MATCH(M15,_xlfn.ANCHORARRAY(H26),0))),L28&amp;"Por favor no seleccionar los criterios de impacto",M15)</f>
        <v>0</v>
      </c>
      <c r="O15" s="224"/>
      <c r="P15" s="233"/>
      <c r="Q15" s="236"/>
      <c r="R15" s="124">
        <v>5</v>
      </c>
      <c r="S15" s="169"/>
      <c r="T15" s="125" t="str">
        <f t="shared" si="0"/>
        <v/>
      </c>
      <c r="U15" s="126"/>
      <c r="V15" s="126"/>
      <c r="W15" s="127" t="str">
        <f t="shared" si="1"/>
        <v/>
      </c>
      <c r="X15" s="126"/>
      <c r="Y15" s="126"/>
      <c r="Z15" s="126"/>
      <c r="AA15" s="128" t="str">
        <f t="shared" si="6"/>
        <v/>
      </c>
      <c r="AB15" s="129" t="str">
        <f t="shared" si="2"/>
        <v/>
      </c>
      <c r="AC15" s="130" t="str">
        <f t="shared" si="3"/>
        <v/>
      </c>
      <c r="AD15" s="129" t="str">
        <f t="shared" si="4"/>
        <v/>
      </c>
      <c r="AE15" s="138" t="str">
        <f t="shared" si="7"/>
        <v/>
      </c>
      <c r="AF15" s="131" t="str">
        <f t="shared" si="5"/>
        <v/>
      </c>
      <c r="AG15" s="132"/>
      <c r="AH15" s="133"/>
      <c r="AI15" s="134"/>
      <c r="AJ15" s="135"/>
      <c r="AK15" s="135"/>
      <c r="AL15" s="133"/>
      <c r="AM15" s="134"/>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row>
    <row r="16" spans="1:71" ht="68.45" customHeight="1" x14ac:dyDescent="0.3">
      <c r="A16" s="213"/>
      <c r="B16" s="216"/>
      <c r="C16" s="216"/>
      <c r="D16" s="216"/>
      <c r="E16" s="141"/>
      <c r="F16" s="216"/>
      <c r="G16" s="228"/>
      <c r="H16" s="228"/>
      <c r="I16" s="216"/>
      <c r="J16" s="240"/>
      <c r="K16" s="225"/>
      <c r="L16" s="234"/>
      <c r="M16" s="222"/>
      <c r="N16" s="234">
        <f ca="1">IF(NOT(ISERROR(MATCH(M16,_xlfn.ANCHORARRAY(H27),0))),L29&amp;"Por favor no seleccionar los criterios de impacto",M16)</f>
        <v>0</v>
      </c>
      <c r="O16" s="225"/>
      <c r="P16" s="234"/>
      <c r="Q16" s="237"/>
      <c r="R16" s="124">
        <v>6</v>
      </c>
      <c r="S16" s="169"/>
      <c r="T16" s="125" t="str">
        <f t="shared" si="0"/>
        <v/>
      </c>
      <c r="U16" s="126"/>
      <c r="V16" s="126"/>
      <c r="W16" s="127" t="str">
        <f t="shared" si="1"/>
        <v/>
      </c>
      <c r="X16" s="126"/>
      <c r="Y16" s="126"/>
      <c r="Z16" s="126"/>
      <c r="AA16" s="128" t="str">
        <f t="shared" si="6"/>
        <v/>
      </c>
      <c r="AB16" s="129" t="str">
        <f t="shared" si="2"/>
        <v/>
      </c>
      <c r="AC16" s="130" t="str">
        <f t="shared" si="3"/>
        <v/>
      </c>
      <c r="AD16" s="129" t="str">
        <f t="shared" si="4"/>
        <v/>
      </c>
      <c r="AE16" s="138" t="str">
        <f t="shared" si="7"/>
        <v/>
      </c>
      <c r="AF16" s="131" t="str">
        <f t="shared" si="5"/>
        <v/>
      </c>
      <c r="AG16" s="132"/>
      <c r="AH16" s="133"/>
      <c r="AI16" s="134"/>
      <c r="AJ16" s="135"/>
      <c r="AK16" s="135"/>
      <c r="AL16" s="133"/>
      <c r="AM16" s="134"/>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row>
    <row r="17" spans="1:71" ht="68.45" customHeight="1" x14ac:dyDescent="0.3">
      <c r="A17" s="211">
        <v>2</v>
      </c>
      <c r="B17" s="214" t="s">
        <v>184</v>
      </c>
      <c r="C17" s="214" t="s">
        <v>319</v>
      </c>
      <c r="D17" s="214" t="s">
        <v>116</v>
      </c>
      <c r="E17" s="164" t="s">
        <v>299</v>
      </c>
      <c r="F17" s="214" t="s">
        <v>315</v>
      </c>
      <c r="G17" s="226" t="s">
        <v>194</v>
      </c>
      <c r="H17" s="226" t="s">
        <v>316</v>
      </c>
      <c r="I17" s="214" t="s">
        <v>214</v>
      </c>
      <c r="J17" s="238">
        <v>12</v>
      </c>
      <c r="K17" s="223" t="str">
        <f>IF(J17&lt;=0,"",IF(J17&lt;=2,"Muy Baja",IF(J17&lt;=24,"Baja",IF(J17&lt;=500,"Media",IF(J17&lt;=5000,"Alta","Muy Alta")))))</f>
        <v>Baja</v>
      </c>
      <c r="L17" s="232">
        <f>IF(K17="","",IF(K17="Muy Baja",0.2,IF(K17="Baja",0.4,IF(K17="Media",0.6,IF(K17="Alta",0.8,IF(K17="Muy Alta",1,))))))</f>
        <v>0.4</v>
      </c>
      <c r="M17" s="220" t="s">
        <v>135</v>
      </c>
      <c r="N17" s="232" t="str">
        <f ca="1">IF(NOT(ISERROR(MATCH(M17,'Tabla Impacto'!$B$221:$B$223,0))),'Tabla Impacto'!$F$223&amp;"Por favor no seleccionar los criterios de impacto(Afectación Económica o presupuestal y Pérdida Reputacional)",M17)</f>
        <v xml:space="preserve">     El riesgo afecta la imagen de alguna área de la organización</v>
      </c>
      <c r="O17" s="223" t="str">
        <f ca="1">IF(OR(N17='Tabla Impacto'!$C$11,N17='Tabla Impacto'!$D$11),"Leve",IF(OR(N17='Tabla Impacto'!$C$12,N17='Tabla Impacto'!$D$12),"Menor",IF(OR(N17='Tabla Impacto'!$C$13,N17='Tabla Impacto'!$D$13),"Moderado",IF(OR(N17='Tabla Impacto'!$C$14,N17='Tabla Impacto'!$D$14),"Mayor",IF(OR(N17='Tabla Impacto'!$C$15,N17='Tabla Impacto'!$D$15),"Catastrófico","")))))</f>
        <v>Leve</v>
      </c>
      <c r="P17" s="232">
        <f ca="1">IF(O17="","",IF(O17="Leve",0.2,IF(O17="Menor",0.4,IF(O17="Moderado",0.6,IF(O17="Mayor",0.8,IF(O17="Catastrófico",1,))))))</f>
        <v>0.2</v>
      </c>
      <c r="Q17" s="235" t="str">
        <f ca="1">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Bajo</v>
      </c>
      <c r="R17" s="124">
        <v>1</v>
      </c>
      <c r="S17" s="169" t="s">
        <v>320</v>
      </c>
      <c r="T17" s="125" t="str">
        <f t="shared" si="0"/>
        <v>Probabilidad</v>
      </c>
      <c r="U17" s="126" t="s">
        <v>13</v>
      </c>
      <c r="V17" s="126" t="s">
        <v>9</v>
      </c>
      <c r="W17" s="127" t="str">
        <f>IF(AND(U17="Preventivo",V17="Automático"),"50%",IF(AND(U17="Preventivo",V17="Manual"),"40%",IF(AND(U17="Detectivo",V17="Automático"),"40%",IF(AND(U17="Detectivo",V17="Manual"),"30%",IF(AND(U17="Correctivo",V17="Automático"),"35%",IF(AND(U17="Correctivo",V17="Manual"),"25%",""))))))</f>
        <v>50%</v>
      </c>
      <c r="X17" s="126" t="s">
        <v>18</v>
      </c>
      <c r="Y17" s="126" t="s">
        <v>21</v>
      </c>
      <c r="Z17" s="126" t="s">
        <v>111</v>
      </c>
      <c r="AA17" s="128">
        <f>IFERROR(IF(T17="Probabilidad",(L17-(+L17*W17)),IF(T17="Impacto",L17,"")),"")</f>
        <v>0.2</v>
      </c>
      <c r="AB17" s="129" t="str">
        <f>IFERROR(IF(AA17="","",IF(AA17&lt;=0.2,"Muy Baja",IF(AA17&lt;=0.4,"Baja",IF(AA17&lt;=0.6,"Media",IF(AA17&lt;=0.8,"Alta","Muy Alta"))))),"")</f>
        <v>Muy Baja</v>
      </c>
      <c r="AC17" s="130">
        <f>+AA17</f>
        <v>0.2</v>
      </c>
      <c r="AD17" s="129" t="str">
        <f ca="1">IFERROR(IF(AE17="","",IF(AE17&lt;=0.2,"Leve",IF(AE17&lt;=0.4,"Menor",IF(AE17&lt;=0.6,"Moderado",IF(AE17&lt;=0.8,"Mayor","Catastrófico"))))),"")</f>
        <v>Leve</v>
      </c>
      <c r="AE17" s="138">
        <f ca="1">IFERROR(IF(T17="Impacto",(P17-(+P17*W17)),IF(T17="Probabilidad",P17,"")),"")</f>
        <v>0.2</v>
      </c>
      <c r="AF17" s="131" t="str">
        <f ca="1">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Bajo</v>
      </c>
      <c r="AG17" s="132" t="s">
        <v>30</v>
      </c>
      <c r="AH17" s="133"/>
      <c r="AI17" s="134"/>
      <c r="AJ17" s="135"/>
      <c r="AK17" s="135"/>
      <c r="AL17" s="133"/>
      <c r="AM17" s="134"/>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row>
    <row r="18" spans="1:71" ht="68.45" customHeight="1" x14ac:dyDescent="0.3">
      <c r="A18" s="212"/>
      <c r="B18" s="215"/>
      <c r="C18" s="215"/>
      <c r="D18" s="215"/>
      <c r="E18" s="164" t="s">
        <v>311</v>
      </c>
      <c r="F18" s="215"/>
      <c r="G18" s="227"/>
      <c r="H18" s="227"/>
      <c r="I18" s="215"/>
      <c r="J18" s="239"/>
      <c r="K18" s="224"/>
      <c r="L18" s="233"/>
      <c r="M18" s="221"/>
      <c r="N18" s="233">
        <f ca="1">IF(NOT(ISERROR(MATCH(M18,_xlfn.ANCHORARRAY(H29),0))),L31&amp;"Por favor no seleccionar los criterios de impacto",M18)</f>
        <v>0</v>
      </c>
      <c r="O18" s="224"/>
      <c r="P18" s="233"/>
      <c r="Q18" s="236"/>
      <c r="R18" s="124">
        <v>2</v>
      </c>
      <c r="S18" s="169" t="s">
        <v>321</v>
      </c>
      <c r="T18" s="125" t="str">
        <f t="shared" si="0"/>
        <v>Impacto</v>
      </c>
      <c r="U18" s="126" t="s">
        <v>15</v>
      </c>
      <c r="V18" s="126" t="s">
        <v>8</v>
      </c>
      <c r="W18" s="127" t="str">
        <f t="shared" ref="W18:W22" si="8">IF(AND(U18="Preventivo",V18="Automático"),"50%",IF(AND(U18="Preventivo",V18="Manual"),"40%",IF(AND(U18="Detectivo",V18="Automático"),"40%",IF(AND(U18="Detectivo",V18="Manual"),"30%",IF(AND(U18="Correctivo",V18="Automático"),"35%",IF(AND(U18="Correctivo",V18="Manual"),"25%",""))))))</f>
        <v>25%</v>
      </c>
      <c r="X18" s="126" t="s">
        <v>19</v>
      </c>
      <c r="Y18" s="126" t="s">
        <v>21</v>
      </c>
      <c r="Z18" s="126" t="s">
        <v>111</v>
      </c>
      <c r="AA18" s="128">
        <f>IFERROR(IF(AND(T17="Probabilidad",T18="Probabilidad"),(AC17-(+AC17*W18)),IF(T18="Probabilidad",(L17-(+L17*W18)),IF(T18="Impacto",AC17,""))),"")</f>
        <v>0.2</v>
      </c>
      <c r="AB18" s="129" t="str">
        <f t="shared" si="2"/>
        <v>Muy Baja</v>
      </c>
      <c r="AC18" s="130">
        <f t="shared" ref="AC18:AC22" si="9">+AA18</f>
        <v>0.2</v>
      </c>
      <c r="AD18" s="129" t="str">
        <f t="shared" ca="1" si="4"/>
        <v>Leve</v>
      </c>
      <c r="AE18" s="138">
        <f ca="1">IFERROR(IF(AND(T17="Impacto",T18="Impacto"),(AE17-(+AE17*W18)),IF(T18="Impacto",(P17-(+P17*W18)),IF(T18="Probabilidad",AE17,""))),"")</f>
        <v>0.15000000000000002</v>
      </c>
      <c r="AF18" s="131" t="str">
        <f t="shared" ref="AF18:AF19" ca="1" si="10">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Bajo</v>
      </c>
      <c r="AG18" s="132" t="s">
        <v>30</v>
      </c>
      <c r="AH18" s="133"/>
      <c r="AI18" s="134"/>
      <c r="AJ18" s="135"/>
      <c r="AK18" s="135"/>
      <c r="AL18" s="133"/>
      <c r="AM18" s="134"/>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row>
    <row r="19" spans="1:71" ht="68.45" customHeight="1" x14ac:dyDescent="0.3">
      <c r="A19" s="212"/>
      <c r="B19" s="215"/>
      <c r="C19" s="215"/>
      <c r="D19" s="215"/>
      <c r="E19" s="164"/>
      <c r="F19" s="215"/>
      <c r="G19" s="227"/>
      <c r="H19" s="227"/>
      <c r="I19" s="215"/>
      <c r="J19" s="239"/>
      <c r="K19" s="224"/>
      <c r="L19" s="233"/>
      <c r="M19" s="221"/>
      <c r="N19" s="233">
        <f ca="1">IF(NOT(ISERROR(MATCH(M19,_xlfn.ANCHORARRAY(H30),0))),L32&amp;"Por favor no seleccionar los criterios de impacto",M19)</f>
        <v>0</v>
      </c>
      <c r="O19" s="224"/>
      <c r="P19" s="233"/>
      <c r="Q19" s="236"/>
      <c r="R19" s="124">
        <v>3</v>
      </c>
      <c r="S19" s="136" t="s">
        <v>345</v>
      </c>
      <c r="T19" s="125" t="str">
        <f t="shared" si="0"/>
        <v>Impacto</v>
      </c>
      <c r="U19" s="126" t="s">
        <v>15</v>
      </c>
      <c r="V19" s="126" t="s">
        <v>8</v>
      </c>
      <c r="W19" s="127" t="str">
        <f t="shared" si="8"/>
        <v>25%</v>
      </c>
      <c r="X19" s="126" t="s">
        <v>19</v>
      </c>
      <c r="Y19" s="126" t="s">
        <v>22</v>
      </c>
      <c r="Z19" s="126" t="s">
        <v>111</v>
      </c>
      <c r="AA19" s="128">
        <f>IFERROR(IF(AND(T18="Probabilidad",T19="Probabilidad"),(AC18-(+AC18*W19)),IF(AND(T18="Impacto",T19="Probabilidad"),(AC17-(+AC17*W19)),IF(T19="Impacto",AC18,""))),"")</f>
        <v>0.2</v>
      </c>
      <c r="AB19" s="129" t="str">
        <f t="shared" si="2"/>
        <v>Muy Baja</v>
      </c>
      <c r="AC19" s="130">
        <f t="shared" si="9"/>
        <v>0.2</v>
      </c>
      <c r="AD19" s="129" t="str">
        <f t="shared" ca="1" si="4"/>
        <v>Leve</v>
      </c>
      <c r="AE19" s="138">
        <f ca="1">IFERROR(IF(AND(T18="Impacto",T19="Impacto"),(AE18-(+AE18*W19)),IF(AND(T18="Probabilidad",T19="Impacto"),(AE17-(+AE17*W19)),IF(T19="Probabilidad",AE18,""))),"")</f>
        <v>0.11250000000000002</v>
      </c>
      <c r="AF19" s="131" t="str">
        <f t="shared" ca="1" si="10"/>
        <v>Bajo</v>
      </c>
      <c r="AG19" s="132" t="s">
        <v>30</v>
      </c>
      <c r="AH19" s="133"/>
      <c r="AI19" s="134"/>
      <c r="AJ19" s="135"/>
      <c r="AK19" s="135"/>
      <c r="AL19" s="133"/>
      <c r="AM19" s="134"/>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row>
    <row r="20" spans="1:71" ht="68.45" customHeight="1" x14ac:dyDescent="0.3">
      <c r="A20" s="212"/>
      <c r="B20" s="215"/>
      <c r="C20" s="215"/>
      <c r="D20" s="215"/>
      <c r="E20" s="164"/>
      <c r="F20" s="215"/>
      <c r="G20" s="227"/>
      <c r="H20" s="227"/>
      <c r="I20" s="215"/>
      <c r="J20" s="239"/>
      <c r="K20" s="224"/>
      <c r="L20" s="233"/>
      <c r="M20" s="221"/>
      <c r="N20" s="233">
        <f ca="1">IF(NOT(ISERROR(MATCH(M20,_xlfn.ANCHORARRAY(H31),0))),L33&amp;"Por favor no seleccionar los criterios de impacto",M20)</f>
        <v>0</v>
      </c>
      <c r="O20" s="224"/>
      <c r="P20" s="233"/>
      <c r="Q20" s="236"/>
      <c r="R20" s="124">
        <v>4</v>
      </c>
      <c r="S20" s="169"/>
      <c r="T20" s="125" t="str">
        <f t="shared" si="0"/>
        <v/>
      </c>
      <c r="U20" s="126"/>
      <c r="V20" s="126"/>
      <c r="W20" s="127" t="str">
        <f t="shared" si="8"/>
        <v/>
      </c>
      <c r="X20" s="126"/>
      <c r="Y20" s="126"/>
      <c r="Z20" s="126"/>
      <c r="AA20" s="128" t="str">
        <f t="shared" ref="AA20:AA22" si="11">IFERROR(IF(AND(T19="Probabilidad",T20="Probabilidad"),(AC19-(+AC19*W20)),IF(AND(T19="Impacto",T20="Probabilidad"),(AC18-(+AC18*W20)),IF(T20="Impacto",AC19,""))),"")</f>
        <v/>
      </c>
      <c r="AB20" s="129" t="str">
        <f t="shared" si="2"/>
        <v/>
      </c>
      <c r="AC20" s="130" t="str">
        <f t="shared" si="9"/>
        <v/>
      </c>
      <c r="AD20" s="129" t="str">
        <f t="shared" si="4"/>
        <v/>
      </c>
      <c r="AE20" s="138" t="str">
        <f t="shared" ref="AE20:AE22" si="12">IFERROR(IF(AND(T19="Impacto",T20="Impacto"),(AE19-(+AE19*W20)),IF(AND(T19="Probabilidad",T20="Impacto"),(AE18-(+AE18*W20)),IF(T20="Probabilidad",AE19,""))),"")</f>
        <v/>
      </c>
      <c r="AF20" s="131" t="str">
        <f>IFERROR(IF(OR(AND(AB20="Muy Baja",AD20="Leve"),AND(AB20="Muy Baja",AD20="Menor"),AND(AB20="Baja",AD20="Leve")),"Bajo",IF(OR(AND(AB20="Muy baja",AD20="Moderado"),AND(AB20="Baja",AD20="Menor"),AND(AB20="Baja",AD20="Moderado"),AND(AB20="Media",AD20="Leve"),AND(AB20="Media",AD20="Menor"),AND(AB20="Media",AD20="Moderado"),AND(AB20="Alta",AD20="Leve"),AND(AB20="Alta",AD20="Menor")),"Moderado",IF(OR(AND(AB20="Muy Baja",AD20="Mayor"),AND(AB20="Baja",AD20="Mayor"),AND(AB20="Media",AD20="Mayor"),AND(AB20="Alta",AD20="Moderado"),AND(AB20="Alta",AD20="Mayor"),AND(AB20="Muy Alta",AD20="Leve"),AND(AB20="Muy Alta",AD20="Menor"),AND(AB20="Muy Alta",AD20="Moderado"),AND(AB20="Muy Alta",AD20="Mayor")),"Alto",IF(OR(AND(AB20="Muy Baja",AD20="Catastrófico"),AND(AB20="Baja",AD20="Catastrófico"),AND(AB20="Media",AD20="Catastrófico"),AND(AB20="Alta",AD20="Catastrófico"),AND(AB20="Muy Alta",AD20="Catastrófico")),"Extremo","")))),"")</f>
        <v/>
      </c>
      <c r="AG20" s="132"/>
      <c r="AH20" s="133"/>
      <c r="AI20" s="134"/>
      <c r="AJ20" s="135"/>
      <c r="AK20" s="135"/>
      <c r="AL20" s="133"/>
      <c r="AM20" s="134"/>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row>
    <row r="21" spans="1:71" ht="68.45" customHeight="1" x14ac:dyDescent="0.3">
      <c r="A21" s="212"/>
      <c r="B21" s="215"/>
      <c r="C21" s="215"/>
      <c r="D21" s="215"/>
      <c r="E21" s="164"/>
      <c r="F21" s="215"/>
      <c r="G21" s="227"/>
      <c r="H21" s="227"/>
      <c r="I21" s="215"/>
      <c r="J21" s="239"/>
      <c r="K21" s="224"/>
      <c r="L21" s="233"/>
      <c r="M21" s="221"/>
      <c r="N21" s="233">
        <f ca="1">IF(NOT(ISERROR(MATCH(M21,_xlfn.ANCHORARRAY(H32),0))),L34&amp;"Por favor no seleccionar los criterios de impacto",M21)</f>
        <v>0</v>
      </c>
      <c r="O21" s="224"/>
      <c r="P21" s="233"/>
      <c r="Q21" s="236"/>
      <c r="R21" s="124">
        <v>5</v>
      </c>
      <c r="S21" s="169"/>
      <c r="T21" s="125" t="str">
        <f t="shared" si="0"/>
        <v/>
      </c>
      <c r="U21" s="126"/>
      <c r="V21" s="126"/>
      <c r="W21" s="127" t="str">
        <f t="shared" si="8"/>
        <v/>
      </c>
      <c r="X21" s="126"/>
      <c r="Y21" s="126"/>
      <c r="Z21" s="126"/>
      <c r="AA21" s="128" t="str">
        <f t="shared" si="11"/>
        <v/>
      </c>
      <c r="AB21" s="129" t="str">
        <f t="shared" si="2"/>
        <v/>
      </c>
      <c r="AC21" s="130" t="str">
        <f t="shared" si="9"/>
        <v/>
      </c>
      <c r="AD21" s="129" t="str">
        <f t="shared" si="4"/>
        <v/>
      </c>
      <c r="AE21" s="138" t="str">
        <f t="shared" si="12"/>
        <v/>
      </c>
      <c r="AF21" s="131" t="str">
        <f t="shared" ref="AF21:AF22" si="13">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
      </c>
      <c r="AG21" s="132"/>
      <c r="AH21" s="133"/>
      <c r="AI21" s="134"/>
      <c r="AJ21" s="135"/>
      <c r="AK21" s="135"/>
      <c r="AL21" s="133"/>
      <c r="AM21" s="134"/>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row>
    <row r="22" spans="1:71" ht="68.45" customHeight="1" x14ac:dyDescent="0.3">
      <c r="A22" s="213"/>
      <c r="B22" s="216"/>
      <c r="C22" s="216"/>
      <c r="D22" s="216"/>
      <c r="E22" s="165"/>
      <c r="F22" s="216"/>
      <c r="G22" s="228"/>
      <c r="H22" s="228"/>
      <c r="I22" s="216"/>
      <c r="J22" s="240"/>
      <c r="K22" s="225"/>
      <c r="L22" s="234"/>
      <c r="M22" s="222"/>
      <c r="N22" s="234">
        <f ca="1">IF(NOT(ISERROR(MATCH(M22,_xlfn.ANCHORARRAY(H33),0))),L41&amp;"Por favor no seleccionar los criterios de impacto",M22)</f>
        <v>0</v>
      </c>
      <c r="O22" s="225"/>
      <c r="P22" s="234"/>
      <c r="Q22" s="237"/>
      <c r="R22" s="124">
        <v>6</v>
      </c>
      <c r="S22" s="169"/>
      <c r="T22" s="125" t="str">
        <f t="shared" si="0"/>
        <v/>
      </c>
      <c r="U22" s="126"/>
      <c r="V22" s="126"/>
      <c r="W22" s="127" t="str">
        <f t="shared" si="8"/>
        <v/>
      </c>
      <c r="X22" s="126"/>
      <c r="Y22" s="126"/>
      <c r="Z22" s="126"/>
      <c r="AA22" s="128" t="str">
        <f t="shared" si="11"/>
        <v/>
      </c>
      <c r="AB22" s="129" t="str">
        <f t="shared" si="2"/>
        <v/>
      </c>
      <c r="AC22" s="130" t="str">
        <f t="shared" si="9"/>
        <v/>
      </c>
      <c r="AD22" s="129" t="str">
        <f t="shared" si="4"/>
        <v/>
      </c>
      <c r="AE22" s="138" t="str">
        <f t="shared" si="12"/>
        <v/>
      </c>
      <c r="AF22" s="131" t="str">
        <f t="shared" si="13"/>
        <v/>
      </c>
      <c r="AG22" s="132"/>
      <c r="AH22" s="133"/>
      <c r="AI22" s="134"/>
      <c r="AJ22" s="135"/>
      <c r="AK22" s="135"/>
      <c r="AL22" s="133"/>
      <c r="AM22" s="134"/>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row>
    <row r="23" spans="1:71" ht="68.45" customHeight="1" x14ac:dyDescent="0.3">
      <c r="A23" s="211">
        <v>3</v>
      </c>
      <c r="B23" s="214" t="s">
        <v>185</v>
      </c>
      <c r="C23" s="214" t="s">
        <v>322</v>
      </c>
      <c r="D23" s="214" t="s">
        <v>118</v>
      </c>
      <c r="E23" s="163" t="s">
        <v>312</v>
      </c>
      <c r="F23" s="214" t="s">
        <v>318</v>
      </c>
      <c r="G23" s="226" t="s">
        <v>194</v>
      </c>
      <c r="H23" s="226" t="s">
        <v>323</v>
      </c>
      <c r="I23" s="214" t="s">
        <v>214</v>
      </c>
      <c r="J23" s="229">
        <v>12</v>
      </c>
      <c r="K23" s="223" t="str">
        <f>IF(J23&lt;=0,"",IF(J23&lt;=2,"Muy Baja",IF(J23&lt;=24,"Baja",IF(J23&lt;=500,"Media",IF(J23&lt;=5000,"Alta","Muy Alta")))))</f>
        <v>Baja</v>
      </c>
      <c r="L23" s="232">
        <f>IF(K23="","",IF(K23="Muy Baja",0.2,IF(K23="Baja",0.4,IF(K23="Media",0.6,IF(K23="Alta",0.8,IF(K23="Muy Alta",1,))))))</f>
        <v>0.4</v>
      </c>
      <c r="M23" s="220" t="s">
        <v>131</v>
      </c>
      <c r="N23" s="232" t="str">
        <f ca="1">IF(NOT(ISERROR(MATCH(M23,'Tabla Impacto'!$B$221:$B$223,0))),'Tabla Impacto'!$F$223&amp;"Por favor no seleccionar los criterios de impacto(Afectación Económica o presupuestal y Pérdida Reputacional)",M23)</f>
        <v xml:space="preserve">     Entre 50 y 100 SMLMV </v>
      </c>
      <c r="O23" s="223" t="str">
        <f ca="1">IF(OR(N23='Tabla Impacto'!$C$11,N23='Tabla Impacto'!$D$11),"Leve",IF(OR(N23='Tabla Impacto'!$C$12,N23='Tabla Impacto'!$D$12),"Menor",IF(OR(N23='Tabla Impacto'!$C$13,N23='Tabla Impacto'!$D$13),"Moderado",IF(OR(N23='Tabla Impacto'!$C$14,N23='Tabla Impacto'!$D$14),"Mayor",IF(OR(N23='Tabla Impacto'!$C$15,N23='Tabla Impacto'!$D$15),"Catastrófico","")))))</f>
        <v>Moderado</v>
      </c>
      <c r="P23" s="232">
        <f ca="1">IF(O23="","",IF(O23="Leve",0.2,IF(O23="Menor",0.4,IF(O23="Moderado",0.6,IF(O23="Mayor",0.8,IF(O23="Catastrófico",1,))))))</f>
        <v>0.6</v>
      </c>
      <c r="Q23" s="235" t="str">
        <f ca="1">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Moderado</v>
      </c>
      <c r="R23" s="124">
        <v>1</v>
      </c>
      <c r="S23" s="169" t="s">
        <v>324</v>
      </c>
      <c r="T23" s="125" t="str">
        <f t="shared" ref="T23:T46" si="14">IF(OR(U23="Preventivo",U23="Detectivo"),"Probabilidad",IF(U23="Correctivo","Impacto",""))</f>
        <v>Probabilidad</v>
      </c>
      <c r="U23" s="126" t="s">
        <v>13</v>
      </c>
      <c r="V23" s="126" t="s">
        <v>9</v>
      </c>
      <c r="W23" s="127" t="str">
        <f>IF(AND(U23="Preventivo",V23="Automático"),"50%",IF(AND(U23="Preventivo",V23="Manual"),"40%",IF(AND(U23="Detectivo",V23="Automático"),"40%",IF(AND(U23="Detectivo",V23="Manual"),"30%",IF(AND(U23="Correctivo",V23="Automático"),"35%",IF(AND(U23="Correctivo",V23="Manual"),"25%",""))))))</f>
        <v>50%</v>
      </c>
      <c r="X23" s="126" t="s">
        <v>18</v>
      </c>
      <c r="Y23" s="126" t="s">
        <v>21</v>
      </c>
      <c r="Z23" s="126" t="s">
        <v>111</v>
      </c>
      <c r="AA23" s="128">
        <f>IFERROR(IF(T23="Probabilidad",(L23-(+L23*W23)),IF(T23="Impacto",L23,"")),"")</f>
        <v>0.2</v>
      </c>
      <c r="AB23" s="129" t="str">
        <f>IFERROR(IF(AA23="","",IF(AA23&lt;=0.2,"Muy Baja",IF(AA23&lt;=0.4,"Baja",IF(AA23&lt;=0.6,"Media",IF(AA23&lt;=0.8,"Alta","Muy Alta"))))),"")</f>
        <v>Muy Baja</v>
      </c>
      <c r="AC23" s="130">
        <f>+AA23</f>
        <v>0.2</v>
      </c>
      <c r="AD23" s="129" t="str">
        <f ca="1">IFERROR(IF(AE23="","",IF(AE23&lt;=0.2,"Leve",IF(AE23&lt;=0.4,"Menor",IF(AE23&lt;=0.6,"Moderado",IF(AE23&lt;=0.8,"Mayor","Catastrófico"))))),"")</f>
        <v>Moderado</v>
      </c>
      <c r="AE23" s="138">
        <f ca="1">IFERROR(IF(T23="Impacto",(P23-(+P23*W23)),IF(T23="Probabilidad",P23,"")),"")</f>
        <v>0.6</v>
      </c>
      <c r="AF23" s="131" t="str">
        <f ca="1">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Moderado</v>
      </c>
      <c r="AG23" s="132" t="s">
        <v>30</v>
      </c>
      <c r="AH23" s="133"/>
      <c r="AI23" s="134"/>
      <c r="AJ23" s="135"/>
      <c r="AK23" s="135"/>
      <c r="AL23" s="133"/>
      <c r="AM23" s="134"/>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row>
    <row r="24" spans="1:71" ht="68.45" customHeight="1" x14ac:dyDescent="0.3">
      <c r="A24" s="212"/>
      <c r="B24" s="215"/>
      <c r="C24" s="215"/>
      <c r="D24" s="215"/>
      <c r="E24" s="164"/>
      <c r="F24" s="215"/>
      <c r="G24" s="227"/>
      <c r="H24" s="227"/>
      <c r="I24" s="215"/>
      <c r="J24" s="230"/>
      <c r="K24" s="224"/>
      <c r="L24" s="233"/>
      <c r="M24" s="221"/>
      <c r="N24" s="233">
        <f ca="1">IF(NOT(ISERROR(MATCH(M24,_xlfn.ANCHORARRAY(#REF!),0))),#REF!&amp;"Por favor no seleccionar los criterios de impacto",M24)</f>
        <v>0</v>
      </c>
      <c r="O24" s="224"/>
      <c r="P24" s="233"/>
      <c r="Q24" s="236"/>
      <c r="R24" s="124">
        <v>2</v>
      </c>
      <c r="S24" s="169" t="s">
        <v>339</v>
      </c>
      <c r="T24" s="125" t="str">
        <f t="shared" si="14"/>
        <v>Impacto</v>
      </c>
      <c r="U24" s="126" t="s">
        <v>15</v>
      </c>
      <c r="V24" s="126" t="s">
        <v>8</v>
      </c>
      <c r="W24" s="127" t="str">
        <f t="shared" ref="W24:W25" si="15">IF(AND(U24="Preventivo",V24="Automático"),"50%",IF(AND(U24="Preventivo",V24="Manual"),"40%",IF(AND(U24="Detectivo",V24="Automático"),"40%",IF(AND(U24="Detectivo",V24="Manual"),"30%",IF(AND(U24="Correctivo",V24="Automático"),"35%",IF(AND(U24="Correctivo",V24="Manual"),"25%",""))))))</f>
        <v>25%</v>
      </c>
      <c r="X24" s="126" t="s">
        <v>19</v>
      </c>
      <c r="Y24" s="126" t="s">
        <v>21</v>
      </c>
      <c r="Z24" s="126" t="s">
        <v>111</v>
      </c>
      <c r="AA24" s="128">
        <f>IFERROR(IF(AND(T23="Probabilidad",T24="Probabilidad"),(AC23-(+AC23*W24)),IF(T24="Probabilidad",(L23-(+L23*W24)),IF(T24="Impacto",AC23,""))),"")</f>
        <v>0.2</v>
      </c>
      <c r="AB24" s="129" t="str">
        <f t="shared" ref="AB24:AB28" si="16">IFERROR(IF(AA24="","",IF(AA24&lt;=0.2,"Muy Baja",IF(AA24&lt;=0.4,"Baja",IF(AA24&lt;=0.6,"Media",IF(AA24&lt;=0.8,"Alta","Muy Alta"))))),"")</f>
        <v>Muy Baja</v>
      </c>
      <c r="AC24" s="130">
        <f t="shared" ref="AC24:AC28" si="17">+AA24</f>
        <v>0.2</v>
      </c>
      <c r="AD24" s="129" t="str">
        <f t="shared" ref="AD24:AD28" ca="1" si="18">IFERROR(IF(AE24="","",IF(AE24&lt;=0.2,"Leve",IF(AE24&lt;=0.4,"Menor",IF(AE24&lt;=0.6,"Moderado",IF(AE24&lt;=0.8,"Mayor","Catastrófico"))))),"")</f>
        <v>Moderado</v>
      </c>
      <c r="AE24" s="138">
        <f ca="1">IFERROR(IF(AND(T23="Impacto",T24="Impacto"),(AE23-(+AE23*W24)),IF(T24="Impacto",(P23-(+P23*W24)),IF(T24="Probabilidad",AE23,""))),"")</f>
        <v>0.44999999999999996</v>
      </c>
      <c r="AF24" s="131" t="str">
        <f t="shared" ref="AF24:AF25" ca="1" si="19">IFERROR(IF(OR(AND(AB24="Muy Baja",AD24="Leve"),AND(AB24="Muy Baja",AD24="Menor"),AND(AB24="Baja",AD24="Leve")),"Bajo",IF(OR(AND(AB24="Muy baja",AD24="Moderado"),AND(AB24="Baja",AD24="Menor"),AND(AB24="Baja",AD24="Moderado"),AND(AB24="Media",AD24="Leve"),AND(AB24="Media",AD24="Menor"),AND(AB24="Media",AD24="Moderado"),AND(AB24="Alta",AD24="Leve"),AND(AB24="Alta",AD24="Menor")),"Moderado",IF(OR(AND(AB24="Muy Baja",AD24="Mayor"),AND(AB24="Baja",AD24="Mayor"),AND(AB24="Media",AD24="Mayor"),AND(AB24="Alta",AD24="Moderado"),AND(AB24="Alta",AD24="Mayor"),AND(AB24="Muy Alta",AD24="Leve"),AND(AB24="Muy Alta",AD24="Menor"),AND(AB24="Muy Alta",AD24="Moderado"),AND(AB24="Muy Alta",AD24="Mayor")),"Alto",IF(OR(AND(AB24="Muy Baja",AD24="Catastrófico"),AND(AB24="Baja",AD24="Catastrófico"),AND(AB24="Media",AD24="Catastrófico"),AND(AB24="Alta",AD24="Catastrófico"),AND(AB24="Muy Alta",AD24="Catastrófico")),"Extremo","")))),"")</f>
        <v>Moderado</v>
      </c>
      <c r="AG24" s="132" t="s">
        <v>30</v>
      </c>
      <c r="AH24" s="133"/>
      <c r="AI24" s="134"/>
      <c r="AJ24" s="135"/>
      <c r="AK24" s="135"/>
      <c r="AL24" s="133"/>
      <c r="AM24" s="134"/>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row>
    <row r="25" spans="1:71" ht="68.45" customHeight="1" x14ac:dyDescent="0.3">
      <c r="A25" s="212"/>
      <c r="B25" s="215"/>
      <c r="C25" s="215"/>
      <c r="D25" s="215"/>
      <c r="E25" s="164"/>
      <c r="F25" s="215"/>
      <c r="G25" s="227"/>
      <c r="H25" s="227"/>
      <c r="I25" s="215"/>
      <c r="J25" s="230"/>
      <c r="K25" s="224"/>
      <c r="L25" s="233"/>
      <c r="M25" s="221"/>
      <c r="N25" s="233">
        <f ca="1">IF(NOT(ISERROR(MATCH(M25,_xlfn.ANCHORARRAY(#REF!),0))),#REF!&amp;"Por favor no seleccionar los criterios de impacto",M25)</f>
        <v>0</v>
      </c>
      <c r="O25" s="224"/>
      <c r="P25" s="233"/>
      <c r="Q25" s="236"/>
      <c r="R25" s="124">
        <v>3</v>
      </c>
      <c r="S25" s="136" t="s">
        <v>325</v>
      </c>
      <c r="T25" s="125" t="str">
        <f t="shared" si="14"/>
        <v>Impacto</v>
      </c>
      <c r="U25" s="126" t="s">
        <v>15</v>
      </c>
      <c r="V25" s="126" t="s">
        <v>8</v>
      </c>
      <c r="W25" s="127" t="str">
        <f t="shared" si="15"/>
        <v>25%</v>
      </c>
      <c r="X25" s="126" t="s">
        <v>19</v>
      </c>
      <c r="Y25" s="126" t="s">
        <v>22</v>
      </c>
      <c r="Z25" s="126" t="s">
        <v>111</v>
      </c>
      <c r="AA25" s="128">
        <f>IFERROR(IF(AND(T24="Probabilidad",T25="Probabilidad"),(AC24-(+AC24*W25)),IF(AND(T24="Impacto",T25="Probabilidad"),(AC23-(+AC23*W25)),IF(T25="Impacto",AC24,""))),"")</f>
        <v>0.2</v>
      </c>
      <c r="AB25" s="129" t="str">
        <f t="shared" si="16"/>
        <v>Muy Baja</v>
      </c>
      <c r="AC25" s="130">
        <f t="shared" si="17"/>
        <v>0.2</v>
      </c>
      <c r="AD25" s="129" t="str">
        <f t="shared" ca="1" si="18"/>
        <v>Menor</v>
      </c>
      <c r="AE25" s="138">
        <f ca="1">IFERROR(IF(AND(T24="Impacto",T25="Impacto"),(AE24-(+AE24*W25)),IF(AND(T24="Probabilidad",T25="Impacto"),(AE23-(+AE23*W25)),IF(T25="Probabilidad",AE24,""))),"")</f>
        <v>0.33749999999999997</v>
      </c>
      <c r="AF25" s="131" t="str">
        <f t="shared" ca="1" si="19"/>
        <v>Bajo</v>
      </c>
      <c r="AG25" s="132" t="s">
        <v>30</v>
      </c>
      <c r="AH25" s="133"/>
      <c r="AI25" s="134"/>
      <c r="AJ25" s="135"/>
      <c r="AK25" s="135"/>
      <c r="AL25" s="133"/>
      <c r="AM25" s="134"/>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row>
    <row r="26" spans="1:71" ht="68.45" customHeight="1" x14ac:dyDescent="0.3">
      <c r="A26" s="212"/>
      <c r="B26" s="215"/>
      <c r="C26" s="215"/>
      <c r="D26" s="215"/>
      <c r="E26" s="164"/>
      <c r="F26" s="215"/>
      <c r="G26" s="227"/>
      <c r="H26" s="227"/>
      <c r="I26" s="215"/>
      <c r="J26" s="230"/>
      <c r="K26" s="224"/>
      <c r="L26" s="233"/>
      <c r="M26" s="221"/>
      <c r="N26" s="233">
        <f ca="1">IF(NOT(ISERROR(MATCH(M26,_xlfn.ANCHORARRAY(#REF!),0))),#REF!&amp;"Por favor no seleccionar los criterios de impacto",M26)</f>
        <v>0</v>
      </c>
      <c r="O26" s="224"/>
      <c r="P26" s="233"/>
      <c r="Q26" s="236"/>
      <c r="R26" s="124">
        <v>4</v>
      </c>
      <c r="S26" s="170" t="s">
        <v>314</v>
      </c>
      <c r="T26" s="125" t="str">
        <f t="shared" si="14"/>
        <v>Probabilidad</v>
      </c>
      <c r="U26" s="126" t="s">
        <v>13</v>
      </c>
      <c r="V26" s="126" t="s">
        <v>8</v>
      </c>
      <c r="W26" s="127" t="str">
        <f t="shared" ref="W26:W28" si="20">IF(AND(U26="Preventivo",V26="Automático"),"50%",IF(AND(U26="Preventivo",V26="Manual"),"40%",IF(AND(U26="Detectivo",V26="Automático"),"40%",IF(AND(U26="Detectivo",V26="Manual"),"30%",IF(AND(U26="Correctivo",V26="Automático"),"35%",IF(AND(U26="Correctivo",V26="Manual"),"25%",""))))))</f>
        <v>40%</v>
      </c>
      <c r="X26" s="126"/>
      <c r="Y26" s="126"/>
      <c r="Z26" s="126"/>
      <c r="AA26" s="128">
        <f t="shared" ref="AA26:AA28" si="21">IFERROR(IF(AND(T25="Probabilidad",T26="Probabilidad"),(AC25-(+AC25*W26)),IF(AND(T25="Impacto",T26="Probabilidad"),(AC24-(+AC24*W26)),IF(T26="Impacto",AC25,""))),"")</f>
        <v>0.12</v>
      </c>
      <c r="AB26" s="129" t="str">
        <f t="shared" si="16"/>
        <v>Muy Baja</v>
      </c>
      <c r="AC26" s="130">
        <f t="shared" si="17"/>
        <v>0.12</v>
      </c>
      <c r="AD26" s="129" t="str">
        <f t="shared" ca="1" si="18"/>
        <v>Menor</v>
      </c>
      <c r="AE26" s="138">
        <f t="shared" ref="AE26:AE28" ca="1" si="22">IFERROR(IF(AND(T25="Impacto",T26="Impacto"),(AE25-(+AE25*W26)),IF(AND(T25="Probabilidad",T26="Impacto"),(AE24-(+AE24*W26)),IF(T26="Probabilidad",AE25,""))),"")</f>
        <v>0.33749999999999997</v>
      </c>
      <c r="AF26" s="131" t="str">
        <f ca="1">IFERROR(IF(OR(AND(AB26="Muy Baja",AD26="Leve"),AND(AB26="Muy Baja",AD26="Menor"),AND(AB26="Baja",AD26="Leve")),"Bajo",IF(OR(AND(AB26="Muy baja",AD26="Moderado"),AND(AB26="Baja",AD26="Menor"),AND(AB26="Baja",AD26="Moderado"),AND(AB26="Media",AD26="Leve"),AND(AB26="Media",AD26="Menor"),AND(AB26="Media",AD26="Moderado"),AND(AB26="Alta",AD26="Leve"),AND(AB26="Alta",AD26="Menor")),"Moderado",IF(OR(AND(AB26="Muy Baja",AD26="Mayor"),AND(AB26="Baja",AD26="Mayor"),AND(AB26="Media",AD26="Mayor"),AND(AB26="Alta",AD26="Moderado"),AND(AB26="Alta",AD26="Mayor"),AND(AB26="Muy Alta",AD26="Leve"),AND(AB26="Muy Alta",AD26="Menor"),AND(AB26="Muy Alta",AD26="Moderado"),AND(AB26="Muy Alta",AD26="Mayor")),"Alto",IF(OR(AND(AB26="Muy Baja",AD26="Catastrófico"),AND(AB26="Baja",AD26="Catastrófico"),AND(AB26="Media",AD26="Catastrófico"),AND(AB26="Alta",AD26="Catastrófico"),AND(AB26="Muy Alta",AD26="Catastrófico")),"Extremo","")))),"")</f>
        <v>Bajo</v>
      </c>
      <c r="AG26" s="132" t="s">
        <v>30</v>
      </c>
      <c r="AH26" s="133"/>
      <c r="AI26" s="134"/>
      <c r="AJ26" s="135"/>
      <c r="AK26" s="135"/>
      <c r="AL26" s="133"/>
      <c r="AM26" s="134"/>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row>
    <row r="27" spans="1:71" ht="68.45" customHeight="1" x14ac:dyDescent="0.3">
      <c r="A27" s="212"/>
      <c r="B27" s="215"/>
      <c r="C27" s="215"/>
      <c r="D27" s="215"/>
      <c r="E27" s="164"/>
      <c r="F27" s="215"/>
      <c r="G27" s="227"/>
      <c r="H27" s="227"/>
      <c r="I27" s="215"/>
      <c r="J27" s="230"/>
      <c r="K27" s="224"/>
      <c r="L27" s="233"/>
      <c r="M27" s="221"/>
      <c r="N27" s="233">
        <f ca="1">IF(NOT(ISERROR(MATCH(M27,_xlfn.ANCHORARRAY(#REF!),0))),#REF!&amp;"Por favor no seleccionar los criterios de impacto",M27)</f>
        <v>0</v>
      </c>
      <c r="O27" s="224"/>
      <c r="P27" s="233"/>
      <c r="Q27" s="236"/>
      <c r="R27" s="124">
        <v>5</v>
      </c>
      <c r="S27" s="136" t="s">
        <v>346</v>
      </c>
      <c r="T27" s="125" t="str">
        <f t="shared" si="14"/>
        <v>Impacto</v>
      </c>
      <c r="U27" s="126" t="s">
        <v>15</v>
      </c>
      <c r="V27" s="126" t="s">
        <v>8</v>
      </c>
      <c r="W27" s="127" t="str">
        <f t="shared" si="20"/>
        <v>25%</v>
      </c>
      <c r="X27" s="126" t="s">
        <v>19</v>
      </c>
      <c r="Y27" s="126" t="s">
        <v>22</v>
      </c>
      <c r="Z27" s="126" t="s">
        <v>111</v>
      </c>
      <c r="AA27" s="128">
        <f t="shared" si="21"/>
        <v>0.12</v>
      </c>
      <c r="AB27" s="129" t="str">
        <f t="shared" si="16"/>
        <v>Muy Baja</v>
      </c>
      <c r="AC27" s="130">
        <f t="shared" si="17"/>
        <v>0.12</v>
      </c>
      <c r="AD27" s="129" t="str">
        <f t="shared" ca="1" si="18"/>
        <v>Menor</v>
      </c>
      <c r="AE27" s="138">
        <f t="shared" ca="1" si="22"/>
        <v>0.25312499999999999</v>
      </c>
      <c r="AF27" s="131" t="str">
        <f t="shared" ref="AF27:AF28" ca="1" si="23">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Bajo</v>
      </c>
      <c r="AG27" s="132" t="s">
        <v>30</v>
      </c>
      <c r="AH27" s="133"/>
      <c r="AI27" s="134"/>
      <c r="AJ27" s="135"/>
      <c r="AK27" s="135"/>
      <c r="AL27" s="133"/>
      <c r="AM27" s="134"/>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row>
    <row r="28" spans="1:71" ht="68.45" customHeight="1" x14ac:dyDescent="0.3">
      <c r="A28" s="213"/>
      <c r="B28" s="216"/>
      <c r="C28" s="216"/>
      <c r="D28" s="216"/>
      <c r="E28" s="165"/>
      <c r="F28" s="216"/>
      <c r="G28" s="228"/>
      <c r="H28" s="228"/>
      <c r="I28" s="216"/>
      <c r="J28" s="231"/>
      <c r="K28" s="225"/>
      <c r="L28" s="234"/>
      <c r="M28" s="222"/>
      <c r="N28" s="234">
        <f ca="1">IF(NOT(ISERROR(MATCH(M28,_xlfn.ANCHORARRAY(#REF!),0))),#REF!&amp;"Por favor no seleccionar los criterios de impacto",M28)</f>
        <v>0</v>
      </c>
      <c r="O28" s="225"/>
      <c r="P28" s="234"/>
      <c r="Q28" s="237"/>
      <c r="R28" s="124">
        <v>6</v>
      </c>
      <c r="S28" s="169"/>
      <c r="T28" s="125" t="str">
        <f t="shared" si="14"/>
        <v/>
      </c>
      <c r="U28" s="126"/>
      <c r="V28" s="126"/>
      <c r="W28" s="127" t="str">
        <f t="shared" si="20"/>
        <v/>
      </c>
      <c r="X28" s="126"/>
      <c r="Y28" s="126"/>
      <c r="Z28" s="126"/>
      <c r="AA28" s="128" t="str">
        <f t="shared" si="21"/>
        <v/>
      </c>
      <c r="AB28" s="129" t="str">
        <f t="shared" si="16"/>
        <v/>
      </c>
      <c r="AC28" s="130" t="str">
        <f t="shared" si="17"/>
        <v/>
      </c>
      <c r="AD28" s="129" t="str">
        <f t="shared" si="18"/>
        <v/>
      </c>
      <c r="AE28" s="138" t="str">
        <f t="shared" si="22"/>
        <v/>
      </c>
      <c r="AF28" s="131" t="str">
        <f t="shared" si="23"/>
        <v/>
      </c>
      <c r="AG28" s="132"/>
      <c r="AH28" s="133"/>
      <c r="AI28" s="134"/>
      <c r="AJ28" s="135"/>
      <c r="AK28" s="135"/>
      <c r="AL28" s="133"/>
      <c r="AM28" s="134"/>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row>
    <row r="29" spans="1:71" ht="68.45" customHeight="1" x14ac:dyDescent="0.3">
      <c r="A29" s="211">
        <v>4</v>
      </c>
      <c r="B29" s="214" t="s">
        <v>186</v>
      </c>
      <c r="C29" s="214" t="s">
        <v>322</v>
      </c>
      <c r="D29" s="214" t="s">
        <v>118</v>
      </c>
      <c r="E29" s="163" t="s">
        <v>327</v>
      </c>
      <c r="F29" s="214" t="s">
        <v>326</v>
      </c>
      <c r="G29" s="226" t="s">
        <v>194</v>
      </c>
      <c r="H29" s="217" t="s">
        <v>328</v>
      </c>
      <c r="I29" s="214" t="s">
        <v>214</v>
      </c>
      <c r="J29" s="229">
        <v>12</v>
      </c>
      <c r="K29" s="223" t="str">
        <f>IF(J29&lt;=0,"",IF(J29&lt;=2,"Muy Baja",IF(J29&lt;=24,"Baja",IF(J29&lt;=500,"Media",IF(J29&lt;=5000,"Alta","Muy Alta")))))</f>
        <v>Baja</v>
      </c>
      <c r="L29" s="232">
        <f>IF(K29="","",IF(K29="Muy Baja",0.2,IF(K29="Baja",0.4,IF(K29="Media",0.6,IF(K29="Alta",0.8,IF(K29="Muy Alta",1,))))))</f>
        <v>0.4</v>
      </c>
      <c r="M29" s="220" t="s">
        <v>132</v>
      </c>
      <c r="N29" s="232" t="str">
        <f ca="1">IF(NOT(ISERROR(MATCH(M29,'Tabla Impacto'!$B$221:$B$223,0))),'Tabla Impacto'!$F$223&amp;"Por favor no seleccionar los criterios de impacto(Afectación Económica o presupuestal y Pérdida Reputacional)",M29)</f>
        <v xml:space="preserve">     Entre 10 y 50 SMLMV </v>
      </c>
      <c r="O29" s="223" t="str">
        <f ca="1">IF(OR(N29='Tabla Impacto'!$C$11,N29='Tabla Impacto'!$D$11),"Leve",IF(OR(N29='Tabla Impacto'!$C$12,N29='Tabla Impacto'!$D$12),"Menor",IF(OR(N29='Tabla Impacto'!$C$13,N29='Tabla Impacto'!$D$13),"Moderado",IF(OR(N29='Tabla Impacto'!$C$14,N29='Tabla Impacto'!$D$14),"Mayor",IF(OR(N29='Tabla Impacto'!$C$15,N29='Tabla Impacto'!$D$15),"Catastrófico","")))))</f>
        <v>Menor</v>
      </c>
      <c r="P29" s="232">
        <f ca="1">IF(O29="","",IF(O29="Leve",0.2,IF(O29="Menor",0.4,IF(O29="Moderado",0.6,IF(O29="Mayor",0.8,IF(O29="Catastrófico",1,))))))</f>
        <v>0.4</v>
      </c>
      <c r="Q29" s="235" t="str">
        <f ca="1">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Moderado</v>
      </c>
      <c r="R29" s="124">
        <v>1</v>
      </c>
      <c r="S29" s="169" t="s">
        <v>324</v>
      </c>
      <c r="T29" s="125" t="str">
        <f t="shared" ref="T29:T32" si="24">IF(OR(U29="Preventivo",U29="Detectivo"),"Probabilidad",IF(U29="Correctivo","Impacto",""))</f>
        <v>Probabilidad</v>
      </c>
      <c r="U29" s="126" t="s">
        <v>13</v>
      </c>
      <c r="V29" s="126" t="s">
        <v>9</v>
      </c>
      <c r="W29" s="127" t="str">
        <f>IF(AND(U29="Preventivo",V29="Automático"),"50%",IF(AND(U29="Preventivo",V29="Manual"),"40%",IF(AND(U29="Detectivo",V29="Automático"),"40%",IF(AND(U29="Detectivo",V29="Manual"),"30%",IF(AND(U29="Correctivo",V29="Automático"),"35%",IF(AND(U29="Correctivo",V29="Manual"),"25%",""))))))</f>
        <v>50%</v>
      </c>
      <c r="X29" s="126" t="s">
        <v>18</v>
      </c>
      <c r="Y29" s="126" t="s">
        <v>21</v>
      </c>
      <c r="Z29" s="126" t="s">
        <v>111</v>
      </c>
      <c r="AA29" s="128">
        <f>IFERROR(IF(T29="Probabilidad",(L29-(+L29*W29)),IF(T29="Impacto",L29,"")),"")</f>
        <v>0.2</v>
      </c>
      <c r="AB29" s="129" t="str">
        <f>IFERROR(IF(AA29="","",IF(AA29&lt;=0.2,"Muy Baja",IF(AA29&lt;=0.4,"Baja",IF(AA29&lt;=0.6,"Media",IF(AA29&lt;=0.8,"Alta","Muy Alta"))))),"")</f>
        <v>Muy Baja</v>
      </c>
      <c r="AC29" s="130">
        <f>+AA29</f>
        <v>0.2</v>
      </c>
      <c r="AD29" s="129" t="str">
        <f ca="1">IFERROR(IF(AE29="","",IF(AE29&lt;=0.2,"Leve",IF(AE29&lt;=0.4,"Menor",IF(AE29&lt;=0.6,"Moderado",IF(AE29&lt;=0.8,"Mayor","Catastrófico"))))),"")</f>
        <v>Menor</v>
      </c>
      <c r="AE29" s="138">
        <f ca="1">IFERROR(IF(T29="Impacto",(P29-(+P29*W29)),IF(T29="Probabilidad",P29,"")),"")</f>
        <v>0.4</v>
      </c>
      <c r="AF29" s="131" t="str">
        <f ca="1">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Bajo</v>
      </c>
      <c r="AG29" s="132" t="s">
        <v>30</v>
      </c>
      <c r="AH29" s="133"/>
      <c r="AI29" s="134"/>
      <c r="AJ29" s="135"/>
      <c r="AK29" s="135"/>
      <c r="AL29" s="133"/>
      <c r="AM29" s="134"/>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1" ht="68.45" customHeight="1" x14ac:dyDescent="0.3">
      <c r="A30" s="212"/>
      <c r="B30" s="215"/>
      <c r="C30" s="215"/>
      <c r="D30" s="215"/>
      <c r="E30" s="164"/>
      <c r="F30" s="215"/>
      <c r="G30" s="227"/>
      <c r="H30" s="218"/>
      <c r="I30" s="215"/>
      <c r="J30" s="230"/>
      <c r="K30" s="224"/>
      <c r="L30" s="233"/>
      <c r="M30" s="221"/>
      <c r="N30" s="233">
        <f ca="1">IF(NOT(ISERROR(MATCH(M30,_xlfn.ANCHORARRAY(#REF!),0))),#REF!&amp;"Por favor no seleccionar los criterios de impacto",M30)</f>
        <v>0</v>
      </c>
      <c r="O30" s="224"/>
      <c r="P30" s="233"/>
      <c r="Q30" s="236"/>
      <c r="R30" s="124">
        <v>2</v>
      </c>
      <c r="S30" s="169" t="s">
        <v>339</v>
      </c>
      <c r="T30" s="125" t="str">
        <f t="shared" si="24"/>
        <v>Impacto</v>
      </c>
      <c r="U30" s="126" t="s">
        <v>15</v>
      </c>
      <c r="V30" s="126" t="s">
        <v>8</v>
      </c>
      <c r="W30" s="127" t="str">
        <f t="shared" ref="W30:W32" si="25">IF(AND(U30="Preventivo",V30="Automático"),"50%",IF(AND(U30="Preventivo",V30="Manual"),"40%",IF(AND(U30="Detectivo",V30="Automático"),"40%",IF(AND(U30="Detectivo",V30="Manual"),"30%",IF(AND(U30="Correctivo",V30="Automático"),"35%",IF(AND(U30="Correctivo",V30="Manual"),"25%",""))))))</f>
        <v>25%</v>
      </c>
      <c r="X30" s="126" t="s">
        <v>19</v>
      </c>
      <c r="Y30" s="126" t="s">
        <v>21</v>
      </c>
      <c r="Z30" s="126" t="s">
        <v>111</v>
      </c>
      <c r="AA30" s="128">
        <f>IFERROR(IF(AND(T29="Probabilidad",T30="Probabilidad"),(AC29-(+AC29*W30)),IF(T30="Probabilidad",(L29-(+L29*W30)),IF(T30="Impacto",AC29,""))),"")</f>
        <v>0.2</v>
      </c>
      <c r="AB30" s="129" t="str">
        <f t="shared" ref="AB30:AB34" si="26">IFERROR(IF(AA30="","",IF(AA30&lt;=0.2,"Muy Baja",IF(AA30&lt;=0.4,"Baja",IF(AA30&lt;=0.6,"Media",IF(AA30&lt;=0.8,"Alta","Muy Alta"))))),"")</f>
        <v>Muy Baja</v>
      </c>
      <c r="AC30" s="130">
        <f t="shared" ref="AC30:AC34" si="27">+AA30</f>
        <v>0.2</v>
      </c>
      <c r="AD30" s="129" t="str">
        <f t="shared" ref="AD30:AD33" ca="1" si="28">IFERROR(IF(AE30="","",IF(AE30&lt;=0.2,"Leve",IF(AE30&lt;=0.4,"Menor",IF(AE30&lt;=0.6,"Moderado",IF(AE30&lt;=0.8,"Mayor","Catastrófico"))))),"")</f>
        <v>Menor</v>
      </c>
      <c r="AE30" s="138">
        <f ca="1">IFERROR(IF(AND(T29="Impacto",T30="Impacto"),(AE29-(+AE29*W30)),IF(T30="Impacto",(P29-(+P29*W30)),IF(T30="Probabilidad",AE29,""))),"")</f>
        <v>0.30000000000000004</v>
      </c>
      <c r="AF30" s="131" t="str">
        <f t="shared" ref="AF30:AF31" ca="1" si="29">IFERROR(IF(OR(AND(AB30="Muy Baja",AD30="Leve"),AND(AB30="Muy Baja",AD30="Menor"),AND(AB30="Baja",AD30="Leve")),"Bajo",IF(OR(AND(AB30="Muy baja",AD30="Moderado"),AND(AB30="Baja",AD30="Menor"),AND(AB30="Baja",AD30="Moderado"),AND(AB30="Media",AD30="Leve"),AND(AB30="Media",AD30="Menor"),AND(AB30="Media",AD30="Moderado"),AND(AB30="Alta",AD30="Leve"),AND(AB30="Alta",AD30="Menor")),"Moderado",IF(OR(AND(AB30="Muy Baja",AD30="Mayor"),AND(AB30="Baja",AD30="Mayor"),AND(AB30="Media",AD30="Mayor"),AND(AB30="Alta",AD30="Moderado"),AND(AB30="Alta",AD30="Mayor"),AND(AB30="Muy Alta",AD30="Leve"),AND(AB30="Muy Alta",AD30="Menor"),AND(AB30="Muy Alta",AD30="Moderado"),AND(AB30="Muy Alta",AD30="Mayor")),"Alto",IF(OR(AND(AB30="Muy Baja",AD30="Catastrófico"),AND(AB30="Baja",AD30="Catastrófico"),AND(AB30="Media",AD30="Catastrófico"),AND(AB30="Alta",AD30="Catastrófico"),AND(AB30="Muy Alta",AD30="Catastrófico")),"Extremo","")))),"")</f>
        <v>Bajo</v>
      </c>
      <c r="AG30" s="132" t="s">
        <v>30</v>
      </c>
      <c r="AH30" s="133"/>
      <c r="AI30" s="134"/>
      <c r="AJ30" s="135"/>
      <c r="AK30" s="135"/>
      <c r="AL30" s="133"/>
      <c r="AM30" s="134"/>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row>
    <row r="31" spans="1:71" ht="68.45" customHeight="1" x14ac:dyDescent="0.3">
      <c r="A31" s="212"/>
      <c r="B31" s="215"/>
      <c r="C31" s="215"/>
      <c r="D31" s="215"/>
      <c r="E31" s="164"/>
      <c r="F31" s="215"/>
      <c r="G31" s="227"/>
      <c r="H31" s="218"/>
      <c r="I31" s="215"/>
      <c r="J31" s="230"/>
      <c r="K31" s="224"/>
      <c r="L31" s="233"/>
      <c r="M31" s="221"/>
      <c r="N31" s="233">
        <f ca="1">IF(NOT(ISERROR(MATCH(M31,_xlfn.ANCHORARRAY(#REF!),0))),#REF!&amp;"Por favor no seleccionar los criterios de impacto",M31)</f>
        <v>0</v>
      </c>
      <c r="O31" s="224"/>
      <c r="P31" s="233"/>
      <c r="Q31" s="236"/>
      <c r="R31" s="124">
        <v>3</v>
      </c>
      <c r="S31" s="136" t="s">
        <v>325</v>
      </c>
      <c r="T31" s="125" t="str">
        <f t="shared" si="24"/>
        <v>Impacto</v>
      </c>
      <c r="U31" s="126" t="s">
        <v>15</v>
      </c>
      <c r="V31" s="126" t="s">
        <v>8</v>
      </c>
      <c r="W31" s="127" t="str">
        <f t="shared" si="25"/>
        <v>25%</v>
      </c>
      <c r="X31" s="126" t="s">
        <v>19</v>
      </c>
      <c r="Y31" s="126" t="s">
        <v>22</v>
      </c>
      <c r="Z31" s="126" t="s">
        <v>111</v>
      </c>
      <c r="AA31" s="128">
        <f>IFERROR(IF(AND(T30="Probabilidad",T31="Probabilidad"),(AC30-(+AC30*W31)),IF(AND(T30="Impacto",T31="Probabilidad"),(AC29-(+AC29*W31)),IF(T31="Impacto",AC30,""))),"")</f>
        <v>0.2</v>
      </c>
      <c r="AB31" s="129" t="str">
        <f t="shared" si="26"/>
        <v>Muy Baja</v>
      </c>
      <c r="AC31" s="130">
        <f t="shared" si="27"/>
        <v>0.2</v>
      </c>
      <c r="AD31" s="129" t="str">
        <f t="shared" ca="1" si="28"/>
        <v>Menor</v>
      </c>
      <c r="AE31" s="138">
        <f ca="1">IFERROR(IF(AND(T30="Impacto",T31="Impacto"),(AE30-(+AE30*W31)),IF(AND(T30="Probabilidad",T31="Impacto"),(AE29-(+AE29*W31)),IF(T31="Probabilidad",AE30,""))),"")</f>
        <v>0.22500000000000003</v>
      </c>
      <c r="AF31" s="131" t="str">
        <f t="shared" ca="1" si="29"/>
        <v>Bajo</v>
      </c>
      <c r="AG31" s="132" t="s">
        <v>30</v>
      </c>
      <c r="AH31" s="133"/>
      <c r="AI31" s="134"/>
      <c r="AJ31" s="135"/>
      <c r="AK31" s="135"/>
      <c r="AL31" s="133"/>
      <c r="AM31" s="134"/>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1" ht="68.45" customHeight="1" x14ac:dyDescent="0.3">
      <c r="A32" s="212"/>
      <c r="B32" s="215"/>
      <c r="C32" s="215"/>
      <c r="D32" s="215"/>
      <c r="E32" s="164"/>
      <c r="F32" s="215"/>
      <c r="G32" s="227"/>
      <c r="H32" s="218"/>
      <c r="I32" s="215"/>
      <c r="J32" s="230"/>
      <c r="K32" s="224"/>
      <c r="L32" s="233"/>
      <c r="M32" s="221"/>
      <c r="N32" s="233">
        <f ca="1">IF(NOT(ISERROR(MATCH(M32,_xlfn.ANCHORARRAY(#REF!),0))),#REF!&amp;"Por favor no seleccionar los criterios de impacto",M32)</f>
        <v>0</v>
      </c>
      <c r="O32" s="224"/>
      <c r="P32" s="233"/>
      <c r="Q32" s="236"/>
      <c r="R32" s="124">
        <v>4</v>
      </c>
      <c r="S32" s="136" t="s">
        <v>346</v>
      </c>
      <c r="T32" s="125" t="str">
        <f t="shared" si="24"/>
        <v>Impacto</v>
      </c>
      <c r="U32" s="126" t="s">
        <v>15</v>
      </c>
      <c r="V32" s="126" t="s">
        <v>8</v>
      </c>
      <c r="W32" s="127" t="str">
        <f t="shared" si="25"/>
        <v>25%</v>
      </c>
      <c r="X32" s="126" t="s">
        <v>19</v>
      </c>
      <c r="Y32" s="126" t="s">
        <v>22</v>
      </c>
      <c r="Z32" s="126" t="s">
        <v>111</v>
      </c>
      <c r="AA32" s="128">
        <f t="shared" ref="AA32:AA34" si="30">IFERROR(IF(AND(T31="Probabilidad",T32="Probabilidad"),(AC31-(+AC31*W32)),IF(AND(T31="Impacto",T32="Probabilidad"),(AC30-(+AC30*W32)),IF(T32="Impacto",AC31,""))),"")</f>
        <v>0.2</v>
      </c>
      <c r="AB32" s="129" t="str">
        <f t="shared" si="26"/>
        <v>Muy Baja</v>
      </c>
      <c r="AC32" s="130">
        <f t="shared" si="27"/>
        <v>0.2</v>
      </c>
      <c r="AD32" s="129" t="str">
        <f t="shared" ca="1" si="28"/>
        <v>Leve</v>
      </c>
      <c r="AE32" s="138">
        <f t="shared" ref="AE32:AE34" ca="1" si="31">IFERROR(IF(AND(T31="Impacto",T32="Impacto"),(AE31-(+AE31*W32)),IF(AND(T31="Probabilidad",T32="Impacto"),(AE30-(+AE30*W32)),IF(T32="Probabilidad",AE31,""))),"")</f>
        <v>0.16875000000000001</v>
      </c>
      <c r="AF32" s="131" t="str">
        <f ca="1">IFERROR(IF(OR(AND(AB32="Muy Baja",AD32="Leve"),AND(AB32="Muy Baja",AD32="Menor"),AND(AB32="Baja",AD32="Leve")),"Bajo",IF(OR(AND(AB32="Muy baja",AD32="Moderado"),AND(AB32="Baja",AD32="Menor"),AND(AB32="Baja",AD32="Moderado"),AND(AB32="Media",AD32="Leve"),AND(AB32="Media",AD32="Menor"),AND(AB32="Media",AD32="Moderado"),AND(AB32="Alta",AD32="Leve"),AND(AB32="Alta",AD32="Menor")),"Moderado",IF(OR(AND(AB32="Muy Baja",AD32="Mayor"),AND(AB32="Baja",AD32="Mayor"),AND(AB32="Media",AD32="Mayor"),AND(AB32="Alta",AD32="Moderado"),AND(AB32="Alta",AD32="Mayor"),AND(AB32="Muy Alta",AD32="Leve"),AND(AB32="Muy Alta",AD32="Menor"),AND(AB32="Muy Alta",AD32="Moderado"),AND(AB32="Muy Alta",AD32="Mayor")),"Alto",IF(OR(AND(AB32="Muy Baja",AD32="Catastrófico"),AND(AB32="Baja",AD32="Catastrófico"),AND(AB32="Media",AD32="Catastrófico"),AND(AB32="Alta",AD32="Catastrófico"),AND(AB32="Muy Alta",AD32="Catastrófico")),"Extremo","")))),"")</f>
        <v>Bajo</v>
      </c>
      <c r="AG32" s="132" t="s">
        <v>30</v>
      </c>
      <c r="AH32" s="133"/>
      <c r="AI32" s="134"/>
      <c r="AJ32" s="135"/>
      <c r="AK32" s="135"/>
      <c r="AL32" s="133"/>
      <c r="AM32" s="134"/>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row>
    <row r="33" spans="1:71" ht="68.45" customHeight="1" x14ac:dyDescent="0.3">
      <c r="A33" s="212"/>
      <c r="B33" s="215"/>
      <c r="C33" s="215"/>
      <c r="D33" s="215"/>
      <c r="E33" s="164"/>
      <c r="F33" s="215"/>
      <c r="G33" s="227"/>
      <c r="H33" s="218"/>
      <c r="I33" s="215"/>
      <c r="J33" s="230"/>
      <c r="K33" s="224"/>
      <c r="L33" s="233"/>
      <c r="M33" s="221"/>
      <c r="N33" s="233">
        <f ca="1">IF(NOT(ISERROR(MATCH(M33,_xlfn.ANCHORARRAY(#REF!),0))),#REF!&amp;"Por favor no seleccionar los criterios de impacto",M33)</f>
        <v>0</v>
      </c>
      <c r="O33" s="224"/>
      <c r="P33" s="233"/>
      <c r="Q33" s="236"/>
      <c r="R33" s="124">
        <v>5</v>
      </c>
      <c r="S33" s="169"/>
      <c r="T33" s="125" t="str">
        <f t="shared" si="14"/>
        <v/>
      </c>
      <c r="U33" s="126"/>
      <c r="V33" s="126"/>
      <c r="W33" s="127" t="str">
        <f t="shared" ref="W33:W34" si="32">IF(AND(U33="Preventivo",V33="Automático"),"50%",IF(AND(U33="Preventivo",V33="Manual"),"40%",IF(AND(U33="Detectivo",V33="Automático"),"40%",IF(AND(U33="Detectivo",V33="Manual"),"30%",IF(AND(U33="Correctivo",V33="Automático"),"35%",IF(AND(U33="Correctivo",V33="Manual"),"25%",""))))))</f>
        <v/>
      </c>
      <c r="X33" s="126"/>
      <c r="Y33" s="126"/>
      <c r="Z33" s="126"/>
      <c r="AA33" s="128" t="str">
        <f t="shared" si="30"/>
        <v/>
      </c>
      <c r="AB33" s="129" t="str">
        <f t="shared" si="26"/>
        <v/>
      </c>
      <c r="AC33" s="130" t="str">
        <f t="shared" si="27"/>
        <v/>
      </c>
      <c r="AD33" s="129" t="str">
        <f t="shared" si="28"/>
        <v/>
      </c>
      <c r="AE33" s="138" t="str">
        <f t="shared" si="31"/>
        <v/>
      </c>
      <c r="AF33" s="131" t="str">
        <f t="shared" ref="AF33" si="33">IFERROR(IF(OR(AND(AB33="Muy Baja",AD33="Leve"),AND(AB33="Muy Baja",AD33="Menor"),AND(AB33="Baja",AD33="Leve")),"Bajo",IF(OR(AND(AB33="Muy baja",AD33="Moderado"),AND(AB33="Baja",AD33="Menor"),AND(AB33="Baja",AD33="Moderado"),AND(AB33="Media",AD33="Leve"),AND(AB33="Media",AD33="Menor"),AND(AB33="Media",AD33="Moderado"),AND(AB33="Alta",AD33="Leve"),AND(AB33="Alta",AD33="Menor")),"Moderado",IF(OR(AND(AB33="Muy Baja",AD33="Mayor"),AND(AB33="Baja",AD33="Mayor"),AND(AB33="Media",AD33="Mayor"),AND(AB33="Alta",AD33="Moderado"),AND(AB33="Alta",AD33="Mayor"),AND(AB33="Muy Alta",AD33="Leve"),AND(AB33="Muy Alta",AD33="Menor"),AND(AB33="Muy Alta",AD33="Moderado"),AND(AB33="Muy Alta",AD33="Mayor")),"Alto",IF(OR(AND(AB33="Muy Baja",AD33="Catastrófico"),AND(AB33="Baja",AD33="Catastrófico"),AND(AB33="Media",AD33="Catastrófico"),AND(AB33="Alta",AD33="Catastrófico"),AND(AB33="Muy Alta",AD33="Catastrófico")),"Extremo","")))),"")</f>
        <v/>
      </c>
      <c r="AG33" s="132"/>
      <c r="AH33" s="133"/>
      <c r="AI33" s="134"/>
      <c r="AJ33" s="135"/>
      <c r="AK33" s="135"/>
      <c r="AL33" s="133"/>
      <c r="AM33" s="134"/>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row>
    <row r="34" spans="1:71" ht="68.45" customHeight="1" x14ac:dyDescent="0.3">
      <c r="A34" s="213"/>
      <c r="B34" s="216"/>
      <c r="C34" s="216"/>
      <c r="D34" s="216"/>
      <c r="E34" s="165"/>
      <c r="F34" s="216"/>
      <c r="G34" s="228"/>
      <c r="H34" s="219"/>
      <c r="I34" s="216"/>
      <c r="J34" s="231"/>
      <c r="K34" s="225"/>
      <c r="L34" s="234"/>
      <c r="M34" s="222"/>
      <c r="N34" s="234">
        <f ca="1">IF(NOT(ISERROR(MATCH(M34,_xlfn.ANCHORARRAY(#REF!),0))),#REF!&amp;"Por favor no seleccionar los criterios de impacto",M34)</f>
        <v>0</v>
      </c>
      <c r="O34" s="225"/>
      <c r="P34" s="234"/>
      <c r="Q34" s="237"/>
      <c r="R34" s="124">
        <v>6</v>
      </c>
      <c r="S34" s="169"/>
      <c r="T34" s="125" t="str">
        <f t="shared" si="14"/>
        <v/>
      </c>
      <c r="U34" s="126"/>
      <c r="V34" s="126"/>
      <c r="W34" s="127" t="str">
        <f t="shared" si="32"/>
        <v/>
      </c>
      <c r="X34" s="126"/>
      <c r="Y34" s="126"/>
      <c r="Z34" s="126"/>
      <c r="AA34" s="128" t="str">
        <f t="shared" si="30"/>
        <v/>
      </c>
      <c r="AB34" s="129" t="str">
        <f t="shared" si="26"/>
        <v/>
      </c>
      <c r="AC34" s="130" t="str">
        <f t="shared" si="27"/>
        <v/>
      </c>
      <c r="AD34" s="129" t="str">
        <f>IFERROR(IF(AE34="","",IF(AE34&lt;=0.2,"Leve",IF(AE34&lt;=0.4,"Menor",IF(AE34&lt;=0.6,"Moderado",IF(AE34&lt;=0.8,"Mayor","Catastrófico"))))),"")</f>
        <v/>
      </c>
      <c r="AE34" s="138" t="str">
        <f t="shared" si="31"/>
        <v/>
      </c>
      <c r="AF34" s="131" t="str">
        <f>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32"/>
      <c r="AH34" s="133"/>
      <c r="AI34" s="134"/>
      <c r="AJ34" s="135"/>
      <c r="AK34" s="135"/>
      <c r="AL34" s="133"/>
      <c r="AM34" s="134"/>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row>
    <row r="35" spans="1:71" ht="68.45" customHeight="1" x14ac:dyDescent="0.3">
      <c r="A35" s="269">
        <v>5</v>
      </c>
      <c r="B35" s="214" t="s">
        <v>186</v>
      </c>
      <c r="C35" s="214" t="s">
        <v>322</v>
      </c>
      <c r="D35" s="214" t="s">
        <v>118</v>
      </c>
      <c r="E35" s="171" t="s">
        <v>342</v>
      </c>
      <c r="F35" s="214" t="s">
        <v>343</v>
      </c>
      <c r="G35" s="226" t="s">
        <v>194</v>
      </c>
      <c r="H35" s="217" t="s">
        <v>344</v>
      </c>
      <c r="I35" s="214" t="s">
        <v>216</v>
      </c>
      <c r="J35" s="229">
        <v>12</v>
      </c>
      <c r="K35" s="223" t="str">
        <f>IF(J35&lt;=0,"",IF(J35&lt;=2,"Muy Baja",IF(J35&lt;=24,"Baja",IF(J35&lt;=500,"Media",IF(J35&lt;=5000,"Alta","Muy Alta")))))</f>
        <v>Baja</v>
      </c>
      <c r="L35" s="232">
        <f>IF(K35="","",IF(K35="Muy Baja",0.2,IF(K35="Baja",0.4,IF(K35="Media",0.6,IF(K35="Alta",0.8,IF(K35="Muy Alta",1,))))))</f>
        <v>0.4</v>
      </c>
      <c r="M35" s="220" t="s">
        <v>132</v>
      </c>
      <c r="N35" s="232" t="str">
        <f ca="1">IF(NOT(ISERROR(MATCH(M35,'Tabla Impacto'!$B$221:$B$223,0))),'Tabla Impacto'!$F$223&amp;"Por favor no seleccionar los criterios de impacto(Afectación Económica o presupuestal y Pérdida Reputacional)",M35)</f>
        <v xml:space="preserve">     Entre 10 y 50 SMLMV </v>
      </c>
      <c r="O35" s="223" t="str">
        <f ca="1">IF(OR(N35='Tabla Impacto'!$C$11,N35='Tabla Impacto'!$D$11),"Leve",IF(OR(N35='Tabla Impacto'!$C$12,N35='Tabla Impacto'!$D$12),"Menor",IF(OR(N35='Tabla Impacto'!$C$13,N35='Tabla Impacto'!$D$13),"Moderado",IF(OR(N35='Tabla Impacto'!$C$14,N35='Tabla Impacto'!$D$14),"Mayor",IF(OR(N35='Tabla Impacto'!$C$15,N35='Tabla Impacto'!$D$15),"Catastrófico","")))))</f>
        <v>Menor</v>
      </c>
      <c r="P35" s="232">
        <f ca="1">IF(O35="","",IF(O35="Leve",0.2,IF(O35="Menor",0.4,IF(O35="Moderado",0.6,IF(O35="Mayor",0.8,IF(O35="Catastrófico",1,))))))</f>
        <v>0.4</v>
      </c>
      <c r="Q35" s="235" t="str">
        <f ca="1">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Moderado</v>
      </c>
      <c r="R35" s="124">
        <v>1</v>
      </c>
      <c r="S35" s="169" t="s">
        <v>340</v>
      </c>
      <c r="T35" s="125" t="str">
        <f t="shared" ref="T35:T40" si="34">IF(OR(U35="Preventivo",U35="Detectivo"),"Probabilidad",IF(U35="Correctivo","Impacto",""))</f>
        <v>Probabilidad</v>
      </c>
      <c r="U35" s="126" t="s">
        <v>13</v>
      </c>
      <c r="V35" s="126" t="s">
        <v>8</v>
      </c>
      <c r="W35" s="127" t="str">
        <f>IF(AND(U35="Preventivo",V35="Automático"),"50%",IF(AND(U35="Preventivo",V35="Manual"),"40%",IF(AND(U35="Detectivo",V35="Automático"),"40%",IF(AND(U35="Detectivo",V35="Manual"),"30%",IF(AND(U35="Correctivo",V35="Automático"),"35%",IF(AND(U35="Correctivo",V35="Manual"),"25%",""))))))</f>
        <v>40%</v>
      </c>
      <c r="X35" s="126" t="s">
        <v>18</v>
      </c>
      <c r="Y35" s="126" t="s">
        <v>21</v>
      </c>
      <c r="Z35" s="126" t="s">
        <v>111</v>
      </c>
      <c r="AA35" s="128">
        <f>IFERROR(IF(T35="Probabilidad",(L35-(+L35*W35)),IF(T35="Impacto",L35,"")),"")</f>
        <v>0.24</v>
      </c>
      <c r="AB35" s="129" t="str">
        <f>IFERROR(IF(AA35="","",IF(AA35&lt;=0.2,"Muy Baja",IF(AA35&lt;=0.4,"Baja",IF(AA35&lt;=0.6,"Media",IF(AA35&lt;=0.8,"Alta","Muy Alta"))))),"")</f>
        <v>Baja</v>
      </c>
      <c r="AC35" s="130">
        <f>+AA35</f>
        <v>0.24</v>
      </c>
      <c r="AD35" s="129" t="str">
        <f ca="1">IFERROR(IF(AE35="","",IF(AE35&lt;=0.2,"Leve",IF(AE35&lt;=0.4,"Menor",IF(AE35&lt;=0.6,"Moderado",IF(AE35&lt;=0.8,"Mayor","Catastrófico"))))),"")</f>
        <v>Menor</v>
      </c>
      <c r="AE35" s="138">
        <f ca="1">IFERROR(IF(T35="Impacto",(P35-(+P35*W35)),IF(T35="Probabilidad",P35,"")),"")</f>
        <v>0.4</v>
      </c>
      <c r="AF35" s="131" t="str">
        <f ca="1">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Moderado</v>
      </c>
      <c r="AG35" s="132" t="s">
        <v>30</v>
      </c>
      <c r="AH35" s="133"/>
      <c r="AI35" s="134"/>
      <c r="AJ35" s="135"/>
      <c r="AK35" s="135"/>
      <c r="AL35" s="133"/>
      <c r="AM35" s="134"/>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row>
    <row r="36" spans="1:71" ht="68.45" customHeight="1" x14ac:dyDescent="0.3">
      <c r="A36" s="270"/>
      <c r="B36" s="215"/>
      <c r="C36" s="215"/>
      <c r="D36" s="215"/>
      <c r="E36" s="164"/>
      <c r="F36" s="215"/>
      <c r="G36" s="227"/>
      <c r="H36" s="218"/>
      <c r="I36" s="215"/>
      <c r="J36" s="230"/>
      <c r="K36" s="224"/>
      <c r="L36" s="233"/>
      <c r="M36" s="221"/>
      <c r="N36" s="233">
        <f ca="1">IF(NOT(ISERROR(MATCH(M36,_xlfn.ANCHORARRAY(#REF!),0))),#REF!&amp;"Por favor no seleccionar los criterios de impacto",M36)</f>
        <v>0</v>
      </c>
      <c r="O36" s="224"/>
      <c r="P36" s="233"/>
      <c r="Q36" s="236"/>
      <c r="R36" s="124">
        <v>2</v>
      </c>
      <c r="S36" s="169" t="s">
        <v>341</v>
      </c>
      <c r="T36" s="125" t="str">
        <f t="shared" si="34"/>
        <v>Probabilidad</v>
      </c>
      <c r="U36" s="126" t="s">
        <v>13</v>
      </c>
      <c r="V36" s="126" t="s">
        <v>8</v>
      </c>
      <c r="W36" s="127" t="str">
        <f t="shared" ref="W36:W40" si="35">IF(AND(U36="Preventivo",V36="Automático"),"50%",IF(AND(U36="Preventivo",V36="Manual"),"40%",IF(AND(U36="Detectivo",V36="Automático"),"40%",IF(AND(U36="Detectivo",V36="Manual"),"30%",IF(AND(U36="Correctivo",V36="Automático"),"35%",IF(AND(U36="Correctivo",V36="Manual"),"25%",""))))))</f>
        <v>40%</v>
      </c>
      <c r="X36" s="126" t="s">
        <v>18</v>
      </c>
      <c r="Y36" s="126" t="s">
        <v>21</v>
      </c>
      <c r="Z36" s="126" t="s">
        <v>111</v>
      </c>
      <c r="AA36" s="128">
        <f>IFERROR(IF(AND(T35="Probabilidad",T36="Probabilidad"),(AC35-(+AC35*W36)),IF(T36="Probabilidad",(L35-(+L35*W36)),IF(T36="Impacto",AC35,""))),"")</f>
        <v>0.14399999999999999</v>
      </c>
      <c r="AB36" s="129" t="str">
        <f t="shared" ref="AB36:AB40" si="36">IFERROR(IF(AA36="","",IF(AA36&lt;=0.2,"Muy Baja",IF(AA36&lt;=0.4,"Baja",IF(AA36&lt;=0.6,"Media",IF(AA36&lt;=0.8,"Alta","Muy Alta"))))),"")</f>
        <v>Muy Baja</v>
      </c>
      <c r="AC36" s="130">
        <f t="shared" ref="AC36:AC40" si="37">+AA36</f>
        <v>0.14399999999999999</v>
      </c>
      <c r="AD36" s="129" t="str">
        <f t="shared" ref="AD36:AD39" ca="1" si="38">IFERROR(IF(AE36="","",IF(AE36&lt;=0.2,"Leve",IF(AE36&lt;=0.4,"Menor",IF(AE36&lt;=0.6,"Moderado",IF(AE36&lt;=0.8,"Mayor","Catastrófico"))))),"")</f>
        <v>Menor</v>
      </c>
      <c r="AE36" s="138">
        <f ca="1">IFERROR(IF(AND(T35="Impacto",T36="Impacto"),(AE35-(+AE35*W36)),IF(T36="Impacto",(P35-(+P35*W36)),IF(T36="Probabilidad",AE35,""))),"")</f>
        <v>0.4</v>
      </c>
      <c r="AF36" s="131" t="str">
        <f t="shared" ref="AF36:AF37" ca="1" si="39">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Bajo</v>
      </c>
      <c r="AG36" s="132" t="s">
        <v>30</v>
      </c>
      <c r="AH36" s="133"/>
      <c r="AI36" s="134"/>
      <c r="AJ36" s="135"/>
      <c r="AK36" s="135"/>
      <c r="AL36" s="133"/>
      <c r="AM36" s="134"/>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row>
    <row r="37" spans="1:71" ht="68.45" customHeight="1" x14ac:dyDescent="0.3">
      <c r="A37" s="270"/>
      <c r="B37" s="215"/>
      <c r="C37" s="215"/>
      <c r="D37" s="215"/>
      <c r="E37" s="164"/>
      <c r="F37" s="215"/>
      <c r="G37" s="227"/>
      <c r="H37" s="218"/>
      <c r="I37" s="215"/>
      <c r="J37" s="230"/>
      <c r="K37" s="224"/>
      <c r="L37" s="233"/>
      <c r="M37" s="221"/>
      <c r="N37" s="233">
        <f ca="1">IF(NOT(ISERROR(MATCH(M37,_xlfn.ANCHORARRAY(#REF!),0))),#REF!&amp;"Por favor no seleccionar los criterios de impacto",M37)</f>
        <v>0</v>
      </c>
      <c r="O37" s="224"/>
      <c r="P37" s="233"/>
      <c r="Q37" s="236"/>
      <c r="R37" s="124">
        <v>3</v>
      </c>
      <c r="S37" s="169"/>
      <c r="T37" s="125" t="str">
        <f t="shared" ref="T37" si="40">IF(OR(U37="Preventivo",U37="Detectivo"),"Probabilidad",IF(U37="Correctivo","Impacto",""))</f>
        <v/>
      </c>
      <c r="U37" s="126"/>
      <c r="V37" s="126"/>
      <c r="W37" s="127" t="str">
        <f t="shared" ref="W37" si="41">IF(AND(U37="Preventivo",V37="Automático"),"50%",IF(AND(U37="Preventivo",V37="Manual"),"40%",IF(AND(U37="Detectivo",V37="Automático"),"40%",IF(AND(U37="Detectivo",V37="Manual"),"30%",IF(AND(U37="Correctivo",V37="Automático"),"35%",IF(AND(U37="Correctivo",V37="Manual"),"25%",""))))))</f>
        <v/>
      </c>
      <c r="X37" s="126"/>
      <c r="Y37" s="126"/>
      <c r="Z37" s="126"/>
      <c r="AA37" s="128" t="str">
        <f>IFERROR(IF(AND(T36="Probabilidad",T37="Probabilidad"),(AC36-(+AC36*W37)),IF(AND(T36="Impacto",T37="Probabilidad"),(AC35-(+AC35*W37)),IF(T37="Impacto",AC36,""))),"")</f>
        <v/>
      </c>
      <c r="AB37" s="129" t="str">
        <f t="shared" si="36"/>
        <v/>
      </c>
      <c r="AC37" s="130" t="str">
        <f t="shared" si="37"/>
        <v/>
      </c>
      <c r="AD37" s="129" t="str">
        <f t="shared" si="38"/>
        <v/>
      </c>
      <c r="AE37" s="138" t="str">
        <f>IFERROR(IF(AND(T36="Impacto",T37="Impacto"),(AE36-(+AE36*W37)),IF(AND(T36="Probabilidad",T37="Impacto"),(AE35-(+AE35*W37)),IF(T37="Probabilidad",AE36,""))),"")</f>
        <v/>
      </c>
      <c r="AF37" s="131" t="str">
        <f t="shared" si="39"/>
        <v/>
      </c>
      <c r="AG37" s="132"/>
      <c r="AH37" s="133"/>
      <c r="AI37" s="134"/>
      <c r="AJ37" s="135"/>
      <c r="AK37" s="135"/>
      <c r="AL37" s="133"/>
      <c r="AM37" s="134"/>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row>
    <row r="38" spans="1:71" ht="68.45" customHeight="1" x14ac:dyDescent="0.3">
      <c r="A38" s="270"/>
      <c r="B38" s="215"/>
      <c r="C38" s="215"/>
      <c r="D38" s="215"/>
      <c r="E38" s="164"/>
      <c r="F38" s="215"/>
      <c r="G38" s="227"/>
      <c r="H38" s="218"/>
      <c r="I38" s="215"/>
      <c r="J38" s="230"/>
      <c r="K38" s="224"/>
      <c r="L38" s="233"/>
      <c r="M38" s="221"/>
      <c r="N38" s="233">
        <f ca="1">IF(NOT(ISERROR(MATCH(M38,_xlfn.ANCHORARRAY(#REF!),0))),#REF!&amp;"Por favor no seleccionar los criterios de impacto",M38)</f>
        <v>0</v>
      </c>
      <c r="O38" s="224"/>
      <c r="P38" s="233"/>
      <c r="Q38" s="236"/>
      <c r="R38" s="124">
        <v>4</v>
      </c>
      <c r="S38" s="169"/>
      <c r="T38" s="125" t="str">
        <f t="shared" si="34"/>
        <v/>
      </c>
      <c r="U38" s="126"/>
      <c r="V38" s="126"/>
      <c r="W38" s="127" t="str">
        <f t="shared" si="35"/>
        <v/>
      </c>
      <c r="X38" s="126"/>
      <c r="Y38" s="126"/>
      <c r="Z38" s="126"/>
      <c r="AA38" s="128" t="str">
        <f t="shared" ref="AA38:AA40" si="42">IFERROR(IF(AND(T37="Probabilidad",T38="Probabilidad"),(AC37-(+AC37*W38)),IF(AND(T37="Impacto",T38="Probabilidad"),(AC36-(+AC36*W38)),IF(T38="Impacto",AC37,""))),"")</f>
        <v/>
      </c>
      <c r="AB38" s="129" t="str">
        <f t="shared" si="36"/>
        <v/>
      </c>
      <c r="AC38" s="130" t="str">
        <f t="shared" si="37"/>
        <v/>
      </c>
      <c r="AD38" s="129" t="str">
        <f t="shared" si="38"/>
        <v/>
      </c>
      <c r="AE38" s="138" t="str">
        <f t="shared" ref="AE38:AE40" si="43">IFERROR(IF(AND(T37="Impacto",T38="Impacto"),(AE37-(+AE37*W38)),IF(AND(T37="Probabilidad",T38="Impacto"),(AE36-(+AE36*W38)),IF(T38="Probabilidad",AE37,""))),"")</f>
        <v/>
      </c>
      <c r="AF38" s="131" t="str">
        <f>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
      </c>
      <c r="AG38" s="132"/>
      <c r="AH38" s="133"/>
      <c r="AI38" s="134"/>
      <c r="AJ38" s="135"/>
      <c r="AK38" s="135"/>
      <c r="AL38" s="133"/>
      <c r="AM38" s="134"/>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row>
    <row r="39" spans="1:71" ht="68.45" customHeight="1" x14ac:dyDescent="0.3">
      <c r="A39" s="270"/>
      <c r="B39" s="215"/>
      <c r="C39" s="215"/>
      <c r="D39" s="215"/>
      <c r="E39" s="164"/>
      <c r="F39" s="215"/>
      <c r="G39" s="227"/>
      <c r="H39" s="218"/>
      <c r="I39" s="215"/>
      <c r="J39" s="230"/>
      <c r="K39" s="224"/>
      <c r="L39" s="233"/>
      <c r="M39" s="221"/>
      <c r="N39" s="233">
        <f ca="1">IF(NOT(ISERROR(MATCH(M39,_xlfn.ANCHORARRAY(#REF!),0))),#REF!&amp;"Por favor no seleccionar los criterios de impacto",M39)</f>
        <v>0</v>
      </c>
      <c r="O39" s="224"/>
      <c r="P39" s="233"/>
      <c r="Q39" s="236"/>
      <c r="R39" s="124">
        <v>5</v>
      </c>
      <c r="S39" s="169"/>
      <c r="T39" s="125" t="str">
        <f t="shared" si="34"/>
        <v/>
      </c>
      <c r="U39" s="126"/>
      <c r="V39" s="126"/>
      <c r="W39" s="127" t="str">
        <f t="shared" si="35"/>
        <v/>
      </c>
      <c r="X39" s="126"/>
      <c r="Y39" s="126"/>
      <c r="Z39" s="126"/>
      <c r="AA39" s="128" t="str">
        <f t="shared" si="42"/>
        <v/>
      </c>
      <c r="AB39" s="129" t="str">
        <f t="shared" si="36"/>
        <v/>
      </c>
      <c r="AC39" s="130" t="str">
        <f t="shared" si="37"/>
        <v/>
      </c>
      <c r="AD39" s="129" t="str">
        <f t="shared" si="38"/>
        <v/>
      </c>
      <c r="AE39" s="138" t="str">
        <f t="shared" si="43"/>
        <v/>
      </c>
      <c r="AF39" s="131" t="str">
        <f t="shared" ref="AF39" si="44">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
      </c>
      <c r="AG39" s="132"/>
      <c r="AH39" s="133"/>
      <c r="AI39" s="134"/>
      <c r="AJ39" s="135"/>
      <c r="AK39" s="135"/>
      <c r="AL39" s="133"/>
      <c r="AM39" s="134"/>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row>
    <row r="40" spans="1:71" ht="68.45" customHeight="1" x14ac:dyDescent="0.3">
      <c r="A40" s="271"/>
      <c r="B40" s="216"/>
      <c r="C40" s="216"/>
      <c r="D40" s="216"/>
      <c r="E40" s="165"/>
      <c r="F40" s="216"/>
      <c r="G40" s="228"/>
      <c r="H40" s="219"/>
      <c r="I40" s="216"/>
      <c r="J40" s="231"/>
      <c r="K40" s="225"/>
      <c r="L40" s="234"/>
      <c r="M40" s="222"/>
      <c r="N40" s="234">
        <f ca="1">IF(NOT(ISERROR(MATCH(M40,_xlfn.ANCHORARRAY(#REF!),0))),#REF!&amp;"Por favor no seleccionar los criterios de impacto",M40)</f>
        <v>0</v>
      </c>
      <c r="O40" s="225"/>
      <c r="P40" s="234"/>
      <c r="Q40" s="237"/>
      <c r="R40" s="124">
        <v>6</v>
      </c>
      <c r="S40" s="169"/>
      <c r="T40" s="125" t="str">
        <f t="shared" si="34"/>
        <v/>
      </c>
      <c r="U40" s="126"/>
      <c r="V40" s="126"/>
      <c r="W40" s="127" t="str">
        <f t="shared" si="35"/>
        <v/>
      </c>
      <c r="X40" s="126"/>
      <c r="Y40" s="126"/>
      <c r="Z40" s="126"/>
      <c r="AA40" s="128" t="str">
        <f t="shared" si="42"/>
        <v/>
      </c>
      <c r="AB40" s="129" t="str">
        <f t="shared" si="36"/>
        <v/>
      </c>
      <c r="AC40" s="130" t="str">
        <f t="shared" si="37"/>
        <v/>
      </c>
      <c r="AD40" s="129" t="str">
        <f>IFERROR(IF(AE40="","",IF(AE40&lt;=0.2,"Leve",IF(AE40&lt;=0.4,"Menor",IF(AE40&lt;=0.6,"Moderado",IF(AE40&lt;=0.8,"Mayor","Catastrófico"))))),"")</f>
        <v/>
      </c>
      <c r="AE40" s="138" t="str">
        <f t="shared" si="43"/>
        <v/>
      </c>
      <c r="AF40" s="131" t="str">
        <f>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32"/>
      <c r="AH40" s="133"/>
      <c r="AI40" s="134"/>
      <c r="AJ40" s="135"/>
      <c r="AK40" s="135"/>
      <c r="AL40" s="133"/>
      <c r="AM40" s="134"/>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row>
    <row r="41" spans="1:71" ht="68.45" customHeight="1" x14ac:dyDescent="0.3">
      <c r="A41" s="211">
        <v>6</v>
      </c>
      <c r="B41" s="214" t="s">
        <v>187</v>
      </c>
      <c r="C41" s="214" t="s">
        <v>306</v>
      </c>
      <c r="D41" s="214" t="s">
        <v>116</v>
      </c>
      <c r="E41" s="163" t="s">
        <v>313</v>
      </c>
      <c r="F41" s="214" t="s">
        <v>331</v>
      </c>
      <c r="G41" s="226" t="s">
        <v>194</v>
      </c>
      <c r="H41" s="226" t="s">
        <v>349</v>
      </c>
      <c r="I41" s="214" t="s">
        <v>216</v>
      </c>
      <c r="J41" s="238">
        <v>365</v>
      </c>
      <c r="K41" s="223" t="str">
        <f>IF(J41&lt;=0,"",IF(J41&lt;=2,"Muy Baja",IF(J41&lt;=24,"Baja",IF(J41&lt;=500,"Media",IF(J41&lt;=5000,"Alta","Muy Alta")))))</f>
        <v>Media</v>
      </c>
      <c r="L41" s="232">
        <f>IF(K41="","",IF(K41="Muy Baja",0.2,IF(K41="Baja",0.4,IF(K41="Media",0.6,IF(K41="Alta",0.8,IF(K41="Muy Alta",1,))))))</f>
        <v>0.6</v>
      </c>
      <c r="M41" s="220" t="s">
        <v>137</v>
      </c>
      <c r="N41" s="232" t="str">
        <f ca="1">IF(NOT(ISERROR(MATCH(M41,'Tabla Impacto'!$B$221:$B$223,0))),'Tabla Impacto'!$F$223&amp;"Por favor no seleccionar los criterios de impacto(Afectación Económica o presupuestal y Pérdida Reputacional)",M41)</f>
        <v xml:space="preserve">     El riesgo afecta la imagen de la entidad con algunos usuarios de relevancia frente al logro de los objetivos</v>
      </c>
      <c r="O41" s="223" t="str">
        <f ca="1">IF(OR(N41='Tabla Impacto'!$C$11,N41='Tabla Impacto'!$D$11),"Leve",IF(OR(N41='Tabla Impacto'!$C$12,N41='Tabla Impacto'!$D$12),"Menor",IF(OR(N41='Tabla Impacto'!$C$13,N41='Tabla Impacto'!$D$13),"Moderado",IF(OR(N41='Tabla Impacto'!$C$14,N41='Tabla Impacto'!$D$14),"Mayor",IF(OR(N41='Tabla Impacto'!$C$15,N41='Tabla Impacto'!$D$15),"Catastrófico","")))))</f>
        <v>Moderado</v>
      </c>
      <c r="P41" s="232">
        <f ca="1">IF(O41="","",IF(O41="Leve",0.2,IF(O41="Menor",0.4,IF(O41="Moderado",0.6,IF(O41="Mayor",0.8,IF(O41="Catastrófico",1,))))))</f>
        <v>0.6</v>
      </c>
      <c r="Q41" s="235" t="str">
        <f ca="1">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Moderado</v>
      </c>
      <c r="R41" s="124">
        <v>1</v>
      </c>
      <c r="S41" s="169" t="s">
        <v>332</v>
      </c>
      <c r="T41" s="125" t="str">
        <f t="shared" si="14"/>
        <v>Probabilidad</v>
      </c>
      <c r="U41" s="126" t="s">
        <v>14</v>
      </c>
      <c r="V41" s="126" t="s">
        <v>8</v>
      </c>
      <c r="W41" s="127" t="str">
        <f>IF(AND(U41="Preventivo",V41="Automático"),"50%",IF(AND(U41="Preventivo",V41="Manual"),"40%",IF(AND(U41="Detectivo",V41="Automático"),"40%",IF(AND(U41="Detectivo",V41="Manual"),"30%",IF(AND(U41="Correctivo",V41="Automático"),"35%",IF(AND(U41="Correctivo",V41="Manual"),"25%",""))))))</f>
        <v>30%</v>
      </c>
      <c r="X41" s="126" t="s">
        <v>19</v>
      </c>
      <c r="Y41" s="126" t="s">
        <v>21</v>
      </c>
      <c r="Z41" s="126" t="s">
        <v>111</v>
      </c>
      <c r="AA41" s="128">
        <f>IFERROR(IF(T41="Probabilidad",(L41-(+L41*W41)),IF(T41="Impacto",L41,"")),"")</f>
        <v>0.42</v>
      </c>
      <c r="AB41" s="129" t="str">
        <f>IFERROR(IF(AA41="","",IF(AA41&lt;=0.2,"Muy Baja",IF(AA41&lt;=0.4,"Baja",IF(AA41&lt;=0.6,"Media",IF(AA41&lt;=0.8,"Alta","Muy Alta"))))),"")</f>
        <v>Media</v>
      </c>
      <c r="AC41" s="130">
        <f>+AA41</f>
        <v>0.42</v>
      </c>
      <c r="AD41" s="129" t="str">
        <f ca="1">IFERROR(IF(AE41="","",IF(AE41&lt;=0.2,"Leve",IF(AE41&lt;=0.4,"Menor",IF(AE41&lt;=0.6,"Moderado",IF(AE41&lt;=0.8,"Mayor","Catastrófico"))))),"")</f>
        <v>Moderado</v>
      </c>
      <c r="AE41" s="138">
        <f ca="1">IFERROR(IF(T41="Impacto",(P41-(+P41*W41)),IF(T41="Probabilidad",P41,"")),"")</f>
        <v>0.6</v>
      </c>
      <c r="AF41" s="131" t="str">
        <f ca="1">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Moderado</v>
      </c>
      <c r="AG41" s="132" t="s">
        <v>30</v>
      </c>
      <c r="AH41" s="133"/>
      <c r="AI41" s="134"/>
      <c r="AJ41" s="135"/>
      <c r="AK41" s="135"/>
      <c r="AL41" s="133"/>
      <c r="AM41" s="134"/>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row>
    <row r="42" spans="1:71" ht="68.45" customHeight="1" x14ac:dyDescent="0.3">
      <c r="A42" s="212"/>
      <c r="B42" s="215"/>
      <c r="C42" s="215"/>
      <c r="D42" s="215"/>
      <c r="E42" s="164" t="s">
        <v>329</v>
      </c>
      <c r="F42" s="215"/>
      <c r="G42" s="227"/>
      <c r="H42" s="227"/>
      <c r="I42" s="215"/>
      <c r="J42" s="239"/>
      <c r="K42" s="224"/>
      <c r="L42" s="233"/>
      <c r="M42" s="221"/>
      <c r="N42" s="233">
        <f ca="1">IF(NOT(ISERROR(MATCH(M42,_xlfn.ANCHORARRAY(#REF!),0))),#REF!&amp;"Por favor no seleccionar los criterios de impacto",M42)</f>
        <v>0</v>
      </c>
      <c r="O42" s="224"/>
      <c r="P42" s="233"/>
      <c r="Q42" s="236"/>
      <c r="R42" s="124">
        <v>2</v>
      </c>
      <c r="S42" s="136" t="s">
        <v>346</v>
      </c>
      <c r="T42" s="125" t="str">
        <f t="shared" si="14"/>
        <v>Impacto</v>
      </c>
      <c r="U42" s="126" t="s">
        <v>15</v>
      </c>
      <c r="V42" s="126" t="s">
        <v>8</v>
      </c>
      <c r="W42" s="127" t="str">
        <f t="shared" ref="W42" si="45">IF(AND(U42="Preventivo",V42="Automático"),"50%",IF(AND(U42="Preventivo",V42="Manual"),"40%",IF(AND(U42="Detectivo",V42="Automático"),"40%",IF(AND(U42="Detectivo",V42="Manual"),"30%",IF(AND(U42="Correctivo",V42="Automático"),"35%",IF(AND(U42="Correctivo",V42="Manual"),"25%",""))))))</f>
        <v>25%</v>
      </c>
      <c r="X42" s="126" t="s">
        <v>19</v>
      </c>
      <c r="Y42" s="126" t="s">
        <v>22</v>
      </c>
      <c r="Z42" s="126" t="s">
        <v>111</v>
      </c>
      <c r="AA42" s="128">
        <f>IFERROR(IF(AND(T41="Probabilidad",T42="Probabilidad"),(AC41-(+AC41*W42)),IF(T42="Probabilidad",(L41-(+L41*W42)),IF(T42="Impacto",AC41,""))),"")</f>
        <v>0.42</v>
      </c>
      <c r="AB42" s="129" t="str">
        <f t="shared" ref="AB42:AB46" si="46">IFERROR(IF(AA42="","",IF(AA42&lt;=0.2,"Muy Baja",IF(AA42&lt;=0.4,"Baja",IF(AA42&lt;=0.6,"Media",IF(AA42&lt;=0.8,"Alta","Muy Alta"))))),"")</f>
        <v>Media</v>
      </c>
      <c r="AC42" s="130">
        <f t="shared" ref="AC42:AC46" si="47">+AA42</f>
        <v>0.42</v>
      </c>
      <c r="AD42" s="129" t="str">
        <f t="shared" ref="AD42:AD46" ca="1" si="48">IFERROR(IF(AE42="","",IF(AE42&lt;=0.2,"Leve",IF(AE42&lt;=0.4,"Menor",IF(AE42&lt;=0.6,"Moderado",IF(AE42&lt;=0.8,"Mayor","Catastrófico"))))),"")</f>
        <v>Moderado</v>
      </c>
      <c r="AE42" s="138">
        <f ca="1">IFERROR(IF(AND(T41="Impacto",T42="Impacto"),(AE41-(+AE41*W42)),IF(T42="Impacto",(P41-(+P41*W42)),IF(T42="Probabilidad",AE41,""))),"")</f>
        <v>0.44999999999999996</v>
      </c>
      <c r="AF42" s="131" t="str">
        <f t="shared" ref="AF42:AF43" ca="1" si="49">IFERROR(IF(OR(AND(AB42="Muy Baja",AD42="Leve"),AND(AB42="Muy Baja",AD42="Menor"),AND(AB42="Baja",AD42="Leve")),"Bajo",IF(OR(AND(AB42="Muy baja",AD42="Moderado"),AND(AB42="Baja",AD42="Menor"),AND(AB42="Baja",AD42="Moderado"),AND(AB42="Media",AD42="Leve"),AND(AB42="Media",AD42="Menor"),AND(AB42="Media",AD42="Moderado"),AND(AB42="Alta",AD42="Leve"),AND(AB42="Alta",AD42="Menor")),"Moderado",IF(OR(AND(AB42="Muy Baja",AD42="Mayor"),AND(AB42="Baja",AD42="Mayor"),AND(AB42="Media",AD42="Mayor"),AND(AB42="Alta",AD42="Moderado"),AND(AB42="Alta",AD42="Mayor"),AND(AB42="Muy Alta",AD42="Leve"),AND(AB42="Muy Alta",AD42="Menor"),AND(AB42="Muy Alta",AD42="Moderado"),AND(AB42="Muy Alta",AD42="Mayor")),"Alto",IF(OR(AND(AB42="Muy Baja",AD42="Catastrófico"),AND(AB42="Baja",AD42="Catastrófico"),AND(AB42="Media",AD42="Catastrófico"),AND(AB42="Alta",AD42="Catastrófico"),AND(AB42="Muy Alta",AD42="Catastrófico")),"Extremo","")))),"")</f>
        <v>Moderado</v>
      </c>
      <c r="AG42" s="132" t="s">
        <v>30</v>
      </c>
      <c r="AH42" s="133"/>
      <c r="AI42" s="134"/>
      <c r="AJ42" s="135"/>
      <c r="AK42" s="135"/>
      <c r="AL42" s="133"/>
      <c r="AM42" s="134"/>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row>
    <row r="43" spans="1:71" ht="68.45" customHeight="1" x14ac:dyDescent="0.3">
      <c r="A43" s="212"/>
      <c r="B43" s="215"/>
      <c r="C43" s="215"/>
      <c r="D43" s="215"/>
      <c r="E43" s="164" t="s">
        <v>330</v>
      </c>
      <c r="F43" s="215"/>
      <c r="G43" s="227"/>
      <c r="H43" s="227"/>
      <c r="I43" s="215"/>
      <c r="J43" s="239"/>
      <c r="K43" s="224"/>
      <c r="L43" s="233"/>
      <c r="M43" s="221"/>
      <c r="N43" s="233">
        <f ca="1">IF(NOT(ISERROR(MATCH(M43,_xlfn.ANCHORARRAY(#REF!),0))),#REF!&amp;"Por favor no seleccionar los criterios de impacto",M43)</f>
        <v>0</v>
      </c>
      <c r="O43" s="224"/>
      <c r="P43" s="233"/>
      <c r="Q43" s="236"/>
      <c r="R43" s="124">
        <v>3</v>
      </c>
      <c r="S43" s="169" t="s">
        <v>347</v>
      </c>
      <c r="T43" s="125" t="str">
        <f t="shared" si="14"/>
        <v>Probabilidad</v>
      </c>
      <c r="U43" s="126" t="s">
        <v>13</v>
      </c>
      <c r="V43" s="126" t="s">
        <v>9</v>
      </c>
      <c r="W43" s="127" t="str">
        <f>IF(AND(U43="Preventivo",V43="Automático"),"50%",IF(AND(U43="Preventivo",V43="Manual"),"40%",IF(AND(U43="Detectivo",V43="Automático"),"40%",IF(AND(U43="Detectivo",V43="Manual"),"30%",IF(AND(U43="Correctivo",V43="Automático"),"35%",IF(AND(U43="Correctivo",V43="Manual"),"25%",""))))))</f>
        <v>50%</v>
      </c>
      <c r="X43" s="126" t="s">
        <v>18</v>
      </c>
      <c r="Y43" s="126" t="s">
        <v>21</v>
      </c>
      <c r="Z43" s="126" t="s">
        <v>111</v>
      </c>
      <c r="AA43" s="128">
        <f>IFERROR(IF(AND(T42="Probabilidad",T43="Probabilidad"),(AC42-(+AC42*W43)),IF(AND(T42="Impacto",T43="Probabilidad"),(AC41-(+AC41*W43)),IF(T43="Impacto",AC42,""))),"")</f>
        <v>0.21</v>
      </c>
      <c r="AB43" s="129" t="str">
        <f t="shared" si="46"/>
        <v>Baja</v>
      </c>
      <c r="AC43" s="130">
        <f t="shared" si="47"/>
        <v>0.21</v>
      </c>
      <c r="AD43" s="129" t="str">
        <f t="shared" ca="1" si="48"/>
        <v>Moderado</v>
      </c>
      <c r="AE43" s="138">
        <f ca="1">IFERROR(IF(AND(T42="Impacto",T43="Impacto"),(AE42-(+AE42*W43)),IF(AND(T42="Probabilidad",T43="Impacto"),(AE41-(+AE41*W43)),IF(T43="Probabilidad",AE42,""))),"")</f>
        <v>0.44999999999999996</v>
      </c>
      <c r="AF43" s="131" t="str">
        <f t="shared" ca="1" si="49"/>
        <v>Moderado</v>
      </c>
      <c r="AG43" s="132" t="s">
        <v>30</v>
      </c>
      <c r="AH43" s="133"/>
      <c r="AI43" s="134"/>
      <c r="AJ43" s="135"/>
      <c r="AK43" s="135"/>
      <c r="AL43" s="133"/>
      <c r="AM43" s="134"/>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row>
    <row r="44" spans="1:71" ht="68.45" customHeight="1" x14ac:dyDescent="0.3">
      <c r="A44" s="212"/>
      <c r="B44" s="215"/>
      <c r="C44" s="215"/>
      <c r="D44" s="215"/>
      <c r="E44" s="164"/>
      <c r="F44" s="215"/>
      <c r="G44" s="227"/>
      <c r="H44" s="227"/>
      <c r="I44" s="215"/>
      <c r="J44" s="239"/>
      <c r="K44" s="224"/>
      <c r="L44" s="233"/>
      <c r="M44" s="221"/>
      <c r="N44" s="233">
        <f ca="1">IF(NOT(ISERROR(MATCH(M44,_xlfn.ANCHORARRAY(#REF!),0))),#REF!&amp;"Por favor no seleccionar los criterios de impacto",M44)</f>
        <v>0</v>
      </c>
      <c r="O44" s="224"/>
      <c r="P44" s="233"/>
      <c r="Q44" s="236"/>
      <c r="R44" s="124">
        <v>4</v>
      </c>
      <c r="S44" s="169" t="s">
        <v>348</v>
      </c>
      <c r="T44" s="125" t="str">
        <f t="shared" si="14"/>
        <v>Probabilidad</v>
      </c>
      <c r="U44" s="126" t="s">
        <v>13</v>
      </c>
      <c r="V44" s="126" t="s">
        <v>8</v>
      </c>
      <c r="W44" s="127" t="str">
        <f>IF(AND(U44="Preventivo",V44="Automático"),"50%",IF(AND(U44="Preventivo",V44="Manual"),"40%",IF(AND(U44="Detectivo",V44="Automático"),"40%",IF(AND(U44="Detectivo",V44="Manual"),"30%",IF(AND(U44="Correctivo",V44="Automático"),"35%",IF(AND(U44="Correctivo",V44="Manual"),"25%",""))))))</f>
        <v>40%</v>
      </c>
      <c r="X44" s="126" t="s">
        <v>18</v>
      </c>
      <c r="Y44" s="126" t="s">
        <v>21</v>
      </c>
      <c r="Z44" s="126" t="s">
        <v>111</v>
      </c>
      <c r="AA44" s="128">
        <f t="shared" ref="AA44:AA46" si="50">IFERROR(IF(AND(T43="Probabilidad",T44="Probabilidad"),(AC43-(+AC43*W44)),IF(AND(T43="Impacto",T44="Probabilidad"),(AC42-(+AC42*W44)),IF(T44="Impacto",AC43,""))),"")</f>
        <v>0.126</v>
      </c>
      <c r="AB44" s="129" t="str">
        <f t="shared" si="46"/>
        <v>Muy Baja</v>
      </c>
      <c r="AC44" s="130">
        <f t="shared" si="47"/>
        <v>0.126</v>
      </c>
      <c r="AD44" s="129" t="str">
        <f t="shared" ca="1" si="48"/>
        <v>Moderado</v>
      </c>
      <c r="AE44" s="138">
        <f t="shared" ref="AE44:AE46" ca="1" si="51">IFERROR(IF(AND(T43="Impacto",T44="Impacto"),(AE43-(+AE43*W44)),IF(AND(T43="Probabilidad",T44="Impacto"),(AE42-(+AE42*W44)),IF(T44="Probabilidad",AE43,""))),"")</f>
        <v>0.44999999999999996</v>
      </c>
      <c r="AF44" s="131" t="str">
        <f ca="1">IFERROR(IF(OR(AND(AB44="Muy Baja",AD44="Leve"),AND(AB44="Muy Baja",AD44="Menor"),AND(AB44="Baja",AD44="Leve")),"Bajo",IF(OR(AND(AB44="Muy baja",AD44="Moderado"),AND(AB44="Baja",AD44="Menor"),AND(AB44="Baja",AD44="Moderado"),AND(AB44="Media",AD44="Leve"),AND(AB44="Media",AD44="Menor"),AND(AB44="Media",AD44="Moderado"),AND(AB44="Alta",AD44="Leve"),AND(AB44="Alta",AD44="Menor")),"Moderado",IF(OR(AND(AB44="Muy Baja",AD44="Mayor"),AND(AB44="Baja",AD44="Mayor"),AND(AB44="Media",AD44="Mayor"),AND(AB44="Alta",AD44="Moderado"),AND(AB44="Alta",AD44="Mayor"),AND(AB44="Muy Alta",AD44="Leve"),AND(AB44="Muy Alta",AD44="Menor"),AND(AB44="Muy Alta",AD44="Moderado"),AND(AB44="Muy Alta",AD44="Mayor")),"Alto",IF(OR(AND(AB44="Muy Baja",AD44="Catastrófico"),AND(AB44="Baja",AD44="Catastrófico"),AND(AB44="Media",AD44="Catastrófico"),AND(AB44="Alta",AD44="Catastrófico"),AND(AB44="Muy Alta",AD44="Catastrófico")),"Extremo","")))),"")</f>
        <v>Moderado</v>
      </c>
      <c r="AG44" s="132" t="s">
        <v>30</v>
      </c>
      <c r="AH44" s="133"/>
      <c r="AI44" s="134"/>
      <c r="AJ44" s="135"/>
      <c r="AK44" s="135"/>
      <c r="AL44" s="133"/>
      <c r="AM44" s="134"/>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row>
    <row r="45" spans="1:71" ht="68.45" customHeight="1" x14ac:dyDescent="0.3">
      <c r="A45" s="212"/>
      <c r="B45" s="215"/>
      <c r="C45" s="215"/>
      <c r="D45" s="215"/>
      <c r="E45" s="164"/>
      <c r="F45" s="215"/>
      <c r="G45" s="227"/>
      <c r="H45" s="227"/>
      <c r="I45" s="215"/>
      <c r="J45" s="239"/>
      <c r="K45" s="224"/>
      <c r="L45" s="233"/>
      <c r="M45" s="221"/>
      <c r="N45" s="233">
        <f ca="1">IF(NOT(ISERROR(MATCH(M45,_xlfn.ANCHORARRAY(#REF!),0))),#REF!&amp;"Por favor no seleccionar los criterios de impacto",M45)</f>
        <v>0</v>
      </c>
      <c r="O45" s="224"/>
      <c r="P45" s="233"/>
      <c r="Q45" s="236"/>
      <c r="R45" s="124">
        <v>5</v>
      </c>
      <c r="S45" s="169"/>
      <c r="T45" s="125" t="str">
        <f t="shared" si="14"/>
        <v/>
      </c>
      <c r="U45" s="126"/>
      <c r="V45" s="126"/>
      <c r="W45" s="127" t="str">
        <f t="shared" ref="W45:W46" si="52">IF(AND(U45="Preventivo",V45="Automático"),"50%",IF(AND(U45="Preventivo",V45="Manual"),"40%",IF(AND(U45="Detectivo",V45="Automático"),"40%",IF(AND(U45="Detectivo",V45="Manual"),"30%",IF(AND(U45="Correctivo",V45="Automático"),"35%",IF(AND(U45="Correctivo",V45="Manual"),"25%",""))))))</f>
        <v/>
      </c>
      <c r="X45" s="126"/>
      <c r="Y45" s="126"/>
      <c r="Z45" s="126"/>
      <c r="AA45" s="128" t="str">
        <f t="shared" si="50"/>
        <v/>
      </c>
      <c r="AB45" s="129" t="str">
        <f t="shared" si="46"/>
        <v/>
      </c>
      <c r="AC45" s="130" t="str">
        <f t="shared" si="47"/>
        <v/>
      </c>
      <c r="AD45" s="129" t="str">
        <f t="shared" si="48"/>
        <v/>
      </c>
      <c r="AE45" s="138" t="str">
        <f t="shared" si="51"/>
        <v/>
      </c>
      <c r="AF45" s="131" t="str">
        <f t="shared" ref="AF45:AF46" si="53">IFERROR(IF(OR(AND(AB45="Muy Baja",AD45="Leve"),AND(AB45="Muy Baja",AD45="Menor"),AND(AB45="Baja",AD45="Leve")),"Bajo",IF(OR(AND(AB45="Muy baja",AD45="Moderado"),AND(AB45="Baja",AD45="Menor"),AND(AB45="Baja",AD45="Moderado"),AND(AB45="Media",AD45="Leve"),AND(AB45="Media",AD45="Menor"),AND(AB45="Media",AD45="Moderado"),AND(AB45="Alta",AD45="Leve"),AND(AB45="Alta",AD45="Menor")),"Moderado",IF(OR(AND(AB45="Muy Baja",AD45="Mayor"),AND(AB45="Baja",AD45="Mayor"),AND(AB45="Media",AD45="Mayor"),AND(AB45="Alta",AD45="Moderado"),AND(AB45="Alta",AD45="Mayor"),AND(AB45="Muy Alta",AD45="Leve"),AND(AB45="Muy Alta",AD45="Menor"),AND(AB45="Muy Alta",AD45="Moderado"),AND(AB45="Muy Alta",AD45="Mayor")),"Alto",IF(OR(AND(AB45="Muy Baja",AD45="Catastrófico"),AND(AB45="Baja",AD45="Catastrófico"),AND(AB45="Media",AD45="Catastrófico"),AND(AB45="Alta",AD45="Catastrófico"),AND(AB45="Muy Alta",AD45="Catastrófico")),"Extremo","")))),"")</f>
        <v/>
      </c>
      <c r="AG45" s="132"/>
      <c r="AH45" s="133"/>
      <c r="AI45" s="134"/>
      <c r="AJ45" s="135"/>
      <c r="AK45" s="135"/>
      <c r="AL45" s="133"/>
      <c r="AM45" s="134"/>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row>
    <row r="46" spans="1:71" ht="68.45" customHeight="1" x14ac:dyDescent="0.3">
      <c r="A46" s="213"/>
      <c r="B46" s="216"/>
      <c r="C46" s="216"/>
      <c r="D46" s="216"/>
      <c r="E46" s="165"/>
      <c r="F46" s="216"/>
      <c r="G46" s="228"/>
      <c r="H46" s="228"/>
      <c r="I46" s="216"/>
      <c r="J46" s="240"/>
      <c r="K46" s="225"/>
      <c r="L46" s="234"/>
      <c r="M46" s="222"/>
      <c r="N46" s="234">
        <f ca="1">IF(NOT(ISERROR(MATCH(M46,_xlfn.ANCHORARRAY(#REF!),0))),#REF!&amp;"Por favor no seleccionar los criterios de impacto",M46)</f>
        <v>0</v>
      </c>
      <c r="O46" s="225"/>
      <c r="P46" s="234"/>
      <c r="Q46" s="237"/>
      <c r="R46" s="124">
        <v>6</v>
      </c>
      <c r="S46" s="169"/>
      <c r="T46" s="125" t="str">
        <f t="shared" si="14"/>
        <v/>
      </c>
      <c r="U46" s="126"/>
      <c r="V46" s="126"/>
      <c r="W46" s="127" t="str">
        <f t="shared" si="52"/>
        <v/>
      </c>
      <c r="X46" s="126"/>
      <c r="Y46" s="126"/>
      <c r="Z46" s="126"/>
      <c r="AA46" s="128" t="str">
        <f t="shared" si="50"/>
        <v/>
      </c>
      <c r="AB46" s="129" t="str">
        <f t="shared" si="46"/>
        <v/>
      </c>
      <c r="AC46" s="130" t="str">
        <f t="shared" si="47"/>
        <v/>
      </c>
      <c r="AD46" s="129" t="str">
        <f t="shared" si="48"/>
        <v/>
      </c>
      <c r="AE46" s="138" t="str">
        <f t="shared" si="51"/>
        <v/>
      </c>
      <c r="AF46" s="131" t="str">
        <f t="shared" si="53"/>
        <v/>
      </c>
      <c r="AG46" s="132"/>
      <c r="AH46" s="133"/>
      <c r="AI46" s="134"/>
      <c r="AJ46" s="135"/>
      <c r="AK46" s="135"/>
      <c r="AL46" s="133"/>
      <c r="AM46" s="134"/>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row>
    <row r="47" spans="1:71" ht="68.45" customHeight="1" x14ac:dyDescent="0.3">
      <c r="A47" s="211">
        <v>7</v>
      </c>
      <c r="B47" s="214" t="s">
        <v>184</v>
      </c>
      <c r="C47" s="214" t="s">
        <v>307</v>
      </c>
      <c r="D47" s="214" t="s">
        <v>116</v>
      </c>
      <c r="E47" s="171" t="s">
        <v>298</v>
      </c>
      <c r="F47" s="214" t="s">
        <v>309</v>
      </c>
      <c r="G47" s="226" t="s">
        <v>193</v>
      </c>
      <c r="H47" s="217" t="s">
        <v>304</v>
      </c>
      <c r="I47" s="214" t="s">
        <v>211</v>
      </c>
      <c r="J47" s="238">
        <v>2</v>
      </c>
      <c r="K47" s="223" t="str">
        <f>IF(J47&lt;=0,"",IF(J47&lt;=2,"Muy Baja",IF(J47&lt;=24,"Baja",IF(J47&lt;=500,"Media",IF(J47&lt;=5000,"Alta","Muy Alta")))))</f>
        <v>Muy Baja</v>
      </c>
      <c r="L47" s="232">
        <f>IF(K47="","",IF(K47="Muy Baja",0.2,IF(K47="Baja",0.4,IF(K47="Media",0.6,IF(K47="Alta",0.8,IF(K47="Muy Alta",1,))))))</f>
        <v>0.2</v>
      </c>
      <c r="M47" s="220" t="s">
        <v>137</v>
      </c>
      <c r="N47" s="166" t="str">
        <f ca="1">IF(NOT(ISERROR(MATCH(M47,'Tabla Impacto'!$B$221:$B$223,0))),'Tabla Impacto'!$F$223&amp;"Por favor no seleccionar los criterios de impacto(Afectación Económica o presupuestal y Pérdida Reputacional)",M47)</f>
        <v xml:space="preserve">     El riesgo afecta la imagen de la entidad con algunos usuarios de relevancia frente al logro de los objetivos</v>
      </c>
      <c r="O47" s="223" t="str">
        <f ca="1">IF(OR(N47='Tabla Impacto'!$C$11,N47='Tabla Impacto'!$D$11),"Leve",IF(OR(N47='Tabla Impacto'!$C$12,N47='Tabla Impacto'!$D$12),"Menor",IF(OR(N47='Tabla Impacto'!$C$13,N47='Tabla Impacto'!$D$13),"Moderado",IF(OR(N47='Tabla Impacto'!$C$14,N47='Tabla Impacto'!$D$14),"Mayor",IF(OR(N47='Tabla Impacto'!$C$15,N47='Tabla Impacto'!$D$15),"Catastrófico","")))))</f>
        <v>Moderado</v>
      </c>
      <c r="P47" s="232">
        <f ca="1">IF(O47="","",IF(O47="Leve",0.2,IF(O47="Menor",0.4,IF(O47="Moderado",0.6,IF(O47="Mayor",0.8,IF(O47="Catastrófico",1,))))))</f>
        <v>0.6</v>
      </c>
      <c r="Q47" s="235" t="str">
        <f ca="1">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Moderado</v>
      </c>
      <c r="R47" s="124">
        <v>1</v>
      </c>
      <c r="S47" s="169" t="s">
        <v>333</v>
      </c>
      <c r="T47" s="125" t="str">
        <f t="shared" si="0"/>
        <v>Probabilidad</v>
      </c>
      <c r="U47" s="126" t="s">
        <v>13</v>
      </c>
      <c r="V47" s="126" t="s">
        <v>8</v>
      </c>
      <c r="W47" s="127" t="str">
        <f>IF(AND(U47="Preventivo",V47="Automático"),"50%",IF(AND(U47="Preventivo",V47="Manual"),"40%",IF(AND(U47="Detectivo",V47="Automático"),"40%",IF(AND(U47="Detectivo",V47="Manual"),"30%",IF(AND(U47="Correctivo",V47="Automático"),"35%",IF(AND(U47="Correctivo",V47="Manual"),"25%",""))))))</f>
        <v>40%</v>
      </c>
      <c r="X47" s="126" t="s">
        <v>18</v>
      </c>
      <c r="Y47" s="126" t="s">
        <v>21</v>
      </c>
      <c r="Z47" s="126" t="s">
        <v>111</v>
      </c>
      <c r="AA47" s="128">
        <f>IFERROR(IF(T47="Probabilidad",(L47-(+L47*W47)),IF(T47="Impacto",L47,"")),"")</f>
        <v>0.12</v>
      </c>
      <c r="AB47" s="129" t="str">
        <f>IFERROR(IF(AA47="","",IF(AA47&lt;=0.2,"Muy Baja",IF(AA47&lt;=0.4,"Baja",IF(AA47&lt;=0.6,"Media",IF(AA47&lt;=0.8,"Alta","Muy Alta"))))),"")</f>
        <v>Muy Baja</v>
      </c>
      <c r="AC47" s="130">
        <f>+AA47</f>
        <v>0.12</v>
      </c>
      <c r="AD47" s="129" t="str">
        <f ca="1">IFERROR(IF(AE47="","",IF(AE47&lt;=0.2,"Leve",IF(AE47&lt;=0.4,"Menor",IF(AE47&lt;=0.6,"Moderado",IF(AE47&lt;=0.8,"Mayor","Catastrófico"))))),"")</f>
        <v>Moderado</v>
      </c>
      <c r="AE47" s="138">
        <f ca="1">IFERROR(IF(T47="Impacto",(P47-(+P47*W47)),IF(T47="Probabilidad",P47,"")),"")</f>
        <v>0.6</v>
      </c>
      <c r="AF47" s="131" t="str">
        <f ca="1">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Moderado</v>
      </c>
      <c r="AG47" s="132" t="s">
        <v>30</v>
      </c>
      <c r="AH47" s="133"/>
      <c r="AI47" s="134"/>
      <c r="AJ47" s="135"/>
      <c r="AK47" s="135"/>
      <c r="AL47" s="133"/>
      <c r="AM47" s="134"/>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row>
    <row r="48" spans="1:71" ht="68.45" customHeight="1" x14ac:dyDescent="0.3">
      <c r="A48" s="212"/>
      <c r="B48" s="215"/>
      <c r="C48" s="215"/>
      <c r="D48" s="215"/>
      <c r="E48" s="164"/>
      <c r="F48" s="215"/>
      <c r="G48" s="227"/>
      <c r="H48" s="218"/>
      <c r="I48" s="215"/>
      <c r="J48" s="239"/>
      <c r="K48" s="224"/>
      <c r="L48" s="233"/>
      <c r="M48" s="221"/>
      <c r="N48" s="167">
        <f ca="1">IF(NOT(ISERROR(MATCH(M48,_xlfn.ANCHORARRAY(H71),0))),L73&amp;"Por favor no seleccionar los criterios de impacto",M48)</f>
        <v>0</v>
      </c>
      <c r="O48" s="224"/>
      <c r="P48" s="233"/>
      <c r="Q48" s="236"/>
      <c r="R48" s="124">
        <v>2</v>
      </c>
      <c r="S48" s="169"/>
      <c r="T48" s="125" t="str">
        <f t="shared" ref="T48" si="54">IF(OR(U48="Preventivo",U48="Detectivo"),"Probabilidad",IF(U48="Correctivo","Impacto",""))</f>
        <v/>
      </c>
      <c r="U48" s="126"/>
      <c r="V48" s="126"/>
      <c r="W48" s="127" t="str">
        <f t="shared" ref="W48" si="55">IF(AND(U48="Preventivo",V48="Automático"),"50%",IF(AND(U48="Preventivo",V48="Manual"),"40%",IF(AND(U48="Detectivo",V48="Automático"),"40%",IF(AND(U48="Detectivo",V48="Manual"),"30%",IF(AND(U48="Correctivo",V48="Automático"),"35%",IF(AND(U48="Correctivo",V48="Manual"),"25%",""))))))</f>
        <v/>
      </c>
      <c r="X48" s="126"/>
      <c r="Y48" s="126"/>
      <c r="Z48" s="126"/>
      <c r="AA48" s="128" t="str">
        <f>IFERROR(IF(AND(T47="Probabilidad",T48="Probabilidad"),(AC47-(+AC47*W48)),IF(T48="Probabilidad",(L47-(+L47*W48)),IF(T48="Impacto",AC47,""))),"")</f>
        <v/>
      </c>
      <c r="AB48" s="129" t="str">
        <f t="shared" si="2"/>
        <v/>
      </c>
      <c r="AC48" s="130" t="str">
        <f t="shared" ref="AC48:AC52" si="56">+AA48</f>
        <v/>
      </c>
      <c r="AD48" s="129" t="str">
        <f t="shared" si="4"/>
        <v/>
      </c>
      <c r="AE48" s="138" t="str">
        <f>IFERROR(IF(AND(T47="Impacto",T48="Impacto"),(AE47-(+AE47*W48)),IF(T48="Impacto",(P47-(+P47*W48)),IF(T48="Probabilidad",AE47,""))),"")</f>
        <v/>
      </c>
      <c r="AF48" s="131" t="str">
        <f t="shared" ref="AF48:AF49" si="57">IFERROR(IF(OR(AND(AB48="Muy Baja",AD48="Leve"),AND(AB48="Muy Baja",AD48="Menor"),AND(AB48="Baja",AD48="Leve")),"Bajo",IF(OR(AND(AB48="Muy baja",AD48="Moderado"),AND(AB48="Baja",AD48="Menor"),AND(AB48="Baja",AD48="Moderado"),AND(AB48="Media",AD48="Leve"),AND(AB48="Media",AD48="Menor"),AND(AB48="Media",AD48="Moderado"),AND(AB48="Alta",AD48="Leve"),AND(AB48="Alta",AD48="Menor")),"Moderado",IF(OR(AND(AB48="Muy Baja",AD48="Mayor"),AND(AB48="Baja",AD48="Mayor"),AND(AB48="Media",AD48="Mayor"),AND(AB48="Alta",AD48="Moderado"),AND(AB48="Alta",AD48="Mayor"),AND(AB48="Muy Alta",AD48="Leve"),AND(AB48="Muy Alta",AD48="Menor"),AND(AB48="Muy Alta",AD48="Moderado"),AND(AB48="Muy Alta",AD48="Mayor")),"Alto",IF(OR(AND(AB48="Muy Baja",AD48="Catastrófico"),AND(AB48="Baja",AD48="Catastrófico"),AND(AB48="Media",AD48="Catastrófico"),AND(AB48="Alta",AD48="Catastrófico"),AND(AB48="Muy Alta",AD48="Catastrófico")),"Extremo","")))),"")</f>
        <v/>
      </c>
      <c r="AG48" s="132"/>
      <c r="AH48" s="133"/>
      <c r="AI48" s="134"/>
      <c r="AJ48" s="135"/>
      <c r="AK48" s="135"/>
      <c r="AL48" s="133"/>
      <c r="AM48" s="134"/>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row>
    <row r="49" spans="1:71" ht="68.45" customHeight="1" x14ac:dyDescent="0.3">
      <c r="A49" s="212"/>
      <c r="B49" s="215"/>
      <c r="C49" s="215"/>
      <c r="D49" s="215"/>
      <c r="E49" s="164"/>
      <c r="F49" s="215"/>
      <c r="G49" s="227"/>
      <c r="H49" s="218"/>
      <c r="I49" s="215"/>
      <c r="J49" s="239"/>
      <c r="K49" s="224"/>
      <c r="L49" s="233"/>
      <c r="M49" s="221"/>
      <c r="N49" s="167">
        <f ca="1">IF(NOT(ISERROR(MATCH(M49,_xlfn.ANCHORARRAY(H72),0))),L74&amp;"Por favor no seleccionar los criterios de impacto",M49)</f>
        <v>0</v>
      </c>
      <c r="O49" s="224"/>
      <c r="P49" s="233"/>
      <c r="Q49" s="236"/>
      <c r="R49" s="124">
        <v>3</v>
      </c>
      <c r="S49" s="136"/>
      <c r="T49" s="125" t="str">
        <f t="shared" ref="T49" si="58">IF(OR(U49="Preventivo",U49="Detectivo"),"Probabilidad",IF(U49="Correctivo","Impacto",""))</f>
        <v/>
      </c>
      <c r="U49" s="126"/>
      <c r="V49" s="126"/>
      <c r="W49" s="127" t="str">
        <f t="shared" ref="W49" si="59">IF(AND(U49="Preventivo",V49="Automático"),"50%",IF(AND(U49="Preventivo",V49="Manual"),"40%",IF(AND(U49="Detectivo",V49="Automático"),"40%",IF(AND(U49="Detectivo",V49="Manual"),"30%",IF(AND(U49="Correctivo",V49="Automático"),"35%",IF(AND(U49="Correctivo",V49="Manual"),"25%",""))))))</f>
        <v/>
      </c>
      <c r="X49" s="126"/>
      <c r="Y49" s="126"/>
      <c r="Z49" s="126"/>
      <c r="AA49" s="128" t="str">
        <f>IFERROR(IF(AND(T48="Probabilidad",T49="Probabilidad"),(AC48-(+AC48*W49)),IF(AND(T48="Impacto",T49="Probabilidad"),(AC47-(+AC47*W49)),IF(T49="Impacto",AC48,""))),"")</f>
        <v/>
      </c>
      <c r="AB49" s="129" t="str">
        <f t="shared" si="2"/>
        <v/>
      </c>
      <c r="AC49" s="130" t="str">
        <f t="shared" si="56"/>
        <v/>
      </c>
      <c r="AD49" s="129" t="str">
        <f t="shared" si="4"/>
        <v/>
      </c>
      <c r="AE49" s="138" t="str">
        <f>IFERROR(IF(AND(T48="Impacto",T49="Impacto"),(AE48-(+AE48*W49)),IF(AND(T48="Probabilidad",T49="Impacto"),(AE47-(+AE47*W49)),IF(T49="Probabilidad",AE48,""))),"")</f>
        <v/>
      </c>
      <c r="AF49" s="131" t="str">
        <f t="shared" si="57"/>
        <v/>
      </c>
      <c r="AG49" s="132"/>
      <c r="AH49" s="133"/>
      <c r="AI49" s="134"/>
      <c r="AJ49" s="135"/>
      <c r="AK49" s="135"/>
      <c r="AL49" s="133"/>
      <c r="AM49" s="134"/>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row>
    <row r="50" spans="1:71" ht="68.45" customHeight="1" x14ac:dyDescent="0.3">
      <c r="A50" s="212"/>
      <c r="B50" s="215"/>
      <c r="C50" s="215"/>
      <c r="D50" s="215"/>
      <c r="E50" s="164"/>
      <c r="F50" s="215"/>
      <c r="G50" s="227"/>
      <c r="H50" s="218"/>
      <c r="I50" s="215"/>
      <c r="J50" s="239"/>
      <c r="K50" s="224"/>
      <c r="L50" s="233"/>
      <c r="M50" s="221"/>
      <c r="N50" s="167">
        <f ca="1">IF(NOT(ISERROR(MATCH(M50,_xlfn.ANCHORARRAY(H73),0))),L75&amp;"Por favor no seleccionar los criterios de impacto",M50)</f>
        <v>0</v>
      </c>
      <c r="O50" s="224"/>
      <c r="P50" s="233"/>
      <c r="Q50" s="236"/>
      <c r="R50" s="124">
        <v>4</v>
      </c>
      <c r="S50" s="169"/>
      <c r="T50" s="125" t="str">
        <f t="shared" si="0"/>
        <v/>
      </c>
      <c r="U50" s="126"/>
      <c r="V50" s="126"/>
      <c r="W50" s="127" t="str">
        <f t="shared" ref="W50:W52" si="60">IF(AND(U50="Preventivo",V50="Automático"),"50%",IF(AND(U50="Preventivo",V50="Manual"),"40%",IF(AND(U50="Detectivo",V50="Automático"),"40%",IF(AND(U50="Detectivo",V50="Manual"),"30%",IF(AND(U50="Correctivo",V50="Automático"),"35%",IF(AND(U50="Correctivo",V50="Manual"),"25%",""))))))</f>
        <v/>
      </c>
      <c r="X50" s="126"/>
      <c r="Y50" s="126"/>
      <c r="Z50" s="126"/>
      <c r="AA50" s="128" t="str">
        <f t="shared" ref="AA50:AA52" si="61">IFERROR(IF(AND(T49="Probabilidad",T50="Probabilidad"),(AC49-(+AC49*W50)),IF(AND(T49="Impacto",T50="Probabilidad"),(AC48-(+AC48*W50)),IF(T50="Impacto",AC49,""))),"")</f>
        <v/>
      </c>
      <c r="AB50" s="129" t="str">
        <f t="shared" si="2"/>
        <v/>
      </c>
      <c r="AC50" s="130" t="str">
        <f t="shared" si="56"/>
        <v/>
      </c>
      <c r="AD50" s="129" t="str">
        <f t="shared" si="4"/>
        <v/>
      </c>
      <c r="AE50" s="138" t="str">
        <f t="shared" ref="AE50:AE52" si="62">IFERROR(IF(AND(T49="Impacto",T50="Impacto"),(AE49-(+AE49*W50)),IF(AND(T49="Probabilidad",T50="Impacto"),(AE48-(+AE48*W50)),IF(T50="Probabilidad",AE49,""))),"")</f>
        <v/>
      </c>
      <c r="AF50" s="131" t="str">
        <f>IFERROR(IF(OR(AND(AB50="Muy Baja",AD50="Leve"),AND(AB50="Muy Baja",AD50="Menor"),AND(AB50="Baja",AD50="Leve")),"Bajo",IF(OR(AND(AB50="Muy baja",AD50="Moderado"),AND(AB50="Baja",AD50="Menor"),AND(AB50="Baja",AD50="Moderado"),AND(AB50="Media",AD50="Leve"),AND(AB50="Media",AD50="Menor"),AND(AB50="Media",AD50="Moderado"),AND(AB50="Alta",AD50="Leve"),AND(AB50="Alta",AD50="Menor")),"Moderado",IF(OR(AND(AB50="Muy Baja",AD50="Mayor"),AND(AB50="Baja",AD50="Mayor"),AND(AB50="Media",AD50="Mayor"),AND(AB50="Alta",AD50="Moderado"),AND(AB50="Alta",AD50="Mayor"),AND(AB50="Muy Alta",AD50="Leve"),AND(AB50="Muy Alta",AD50="Menor"),AND(AB50="Muy Alta",AD50="Moderado"),AND(AB50="Muy Alta",AD50="Mayor")),"Alto",IF(OR(AND(AB50="Muy Baja",AD50="Catastrófico"),AND(AB50="Baja",AD50="Catastrófico"),AND(AB50="Media",AD50="Catastrófico"),AND(AB50="Alta",AD50="Catastrófico"),AND(AB50="Muy Alta",AD50="Catastrófico")),"Extremo","")))),"")</f>
        <v/>
      </c>
      <c r="AG50" s="132"/>
      <c r="AH50" s="133"/>
      <c r="AI50" s="134"/>
      <c r="AJ50" s="135"/>
      <c r="AK50" s="135"/>
      <c r="AL50" s="133"/>
      <c r="AM50" s="134"/>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row>
    <row r="51" spans="1:71" ht="68.45" customHeight="1" x14ac:dyDescent="0.3">
      <c r="A51" s="212"/>
      <c r="B51" s="215"/>
      <c r="C51" s="215"/>
      <c r="D51" s="215"/>
      <c r="E51" s="164"/>
      <c r="F51" s="215"/>
      <c r="G51" s="227"/>
      <c r="H51" s="218"/>
      <c r="I51" s="215"/>
      <c r="J51" s="239"/>
      <c r="K51" s="224"/>
      <c r="L51" s="233"/>
      <c r="M51" s="221"/>
      <c r="N51" s="167">
        <f ca="1">IF(NOT(ISERROR(MATCH(M51,_xlfn.ANCHORARRAY(H74),0))),L76&amp;"Por favor no seleccionar los criterios de impacto",M51)</f>
        <v>0</v>
      </c>
      <c r="O51" s="224"/>
      <c r="P51" s="233"/>
      <c r="Q51" s="236"/>
      <c r="R51" s="124">
        <v>5</v>
      </c>
      <c r="S51" s="169"/>
      <c r="T51" s="125" t="str">
        <f t="shared" si="0"/>
        <v/>
      </c>
      <c r="U51" s="126"/>
      <c r="V51" s="126"/>
      <c r="W51" s="127" t="str">
        <f t="shared" si="60"/>
        <v/>
      </c>
      <c r="X51" s="126"/>
      <c r="Y51" s="126"/>
      <c r="Z51" s="126"/>
      <c r="AA51" s="128" t="str">
        <f t="shared" si="61"/>
        <v/>
      </c>
      <c r="AB51" s="129" t="str">
        <f t="shared" si="2"/>
        <v/>
      </c>
      <c r="AC51" s="130" t="str">
        <f t="shared" si="56"/>
        <v/>
      </c>
      <c r="AD51" s="129" t="str">
        <f t="shared" si="4"/>
        <v/>
      </c>
      <c r="AE51" s="138" t="str">
        <f t="shared" si="62"/>
        <v/>
      </c>
      <c r="AF51" s="131" t="str">
        <f t="shared" ref="AF51:AF52" si="63">IFERROR(IF(OR(AND(AB51="Muy Baja",AD51="Leve"),AND(AB51="Muy Baja",AD51="Menor"),AND(AB51="Baja",AD51="Leve")),"Bajo",IF(OR(AND(AB51="Muy baja",AD51="Moderado"),AND(AB51="Baja",AD51="Menor"),AND(AB51="Baja",AD51="Moderado"),AND(AB51="Media",AD51="Leve"),AND(AB51="Media",AD51="Menor"),AND(AB51="Media",AD51="Moderado"),AND(AB51="Alta",AD51="Leve"),AND(AB51="Alta",AD51="Menor")),"Moderado",IF(OR(AND(AB51="Muy Baja",AD51="Mayor"),AND(AB51="Baja",AD51="Mayor"),AND(AB51="Media",AD51="Mayor"),AND(AB51="Alta",AD51="Moderado"),AND(AB51="Alta",AD51="Mayor"),AND(AB51="Muy Alta",AD51="Leve"),AND(AB51="Muy Alta",AD51="Menor"),AND(AB51="Muy Alta",AD51="Moderado"),AND(AB51="Muy Alta",AD51="Mayor")),"Alto",IF(OR(AND(AB51="Muy Baja",AD51="Catastrófico"),AND(AB51="Baja",AD51="Catastrófico"),AND(AB51="Media",AD51="Catastrófico"),AND(AB51="Alta",AD51="Catastrófico"),AND(AB51="Muy Alta",AD51="Catastrófico")),"Extremo","")))),"")</f>
        <v/>
      </c>
      <c r="AG51" s="132"/>
      <c r="AH51" s="133"/>
      <c r="AI51" s="134"/>
      <c r="AJ51" s="135"/>
      <c r="AK51" s="135"/>
      <c r="AL51" s="133"/>
      <c r="AM51" s="134"/>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row>
    <row r="52" spans="1:71" ht="68.45" customHeight="1" x14ac:dyDescent="0.3">
      <c r="A52" s="213"/>
      <c r="B52" s="216"/>
      <c r="C52" s="216"/>
      <c r="D52" s="216"/>
      <c r="E52" s="165"/>
      <c r="F52" s="216"/>
      <c r="G52" s="228"/>
      <c r="H52" s="219"/>
      <c r="I52" s="216"/>
      <c r="J52" s="240"/>
      <c r="K52" s="225"/>
      <c r="L52" s="234"/>
      <c r="M52" s="222"/>
      <c r="N52" s="168">
        <f ca="1">IF(NOT(ISERROR(MATCH(M52,_xlfn.ANCHORARRAY(H75),0))),L77&amp;"Por favor no seleccionar los criterios de impacto",M52)</f>
        <v>0</v>
      </c>
      <c r="O52" s="225"/>
      <c r="P52" s="234"/>
      <c r="Q52" s="237"/>
      <c r="R52" s="124">
        <v>6</v>
      </c>
      <c r="S52" s="169"/>
      <c r="T52" s="125" t="str">
        <f t="shared" si="0"/>
        <v/>
      </c>
      <c r="U52" s="126"/>
      <c r="V52" s="126"/>
      <c r="W52" s="127" t="str">
        <f t="shared" si="60"/>
        <v/>
      </c>
      <c r="X52" s="126"/>
      <c r="Y52" s="126"/>
      <c r="Z52" s="126"/>
      <c r="AA52" s="128" t="str">
        <f t="shared" si="61"/>
        <v/>
      </c>
      <c r="AB52" s="129" t="str">
        <f t="shared" si="2"/>
        <v/>
      </c>
      <c r="AC52" s="130" t="str">
        <f t="shared" si="56"/>
        <v/>
      </c>
      <c r="AD52" s="129" t="str">
        <f t="shared" si="4"/>
        <v/>
      </c>
      <c r="AE52" s="138" t="str">
        <f t="shared" si="62"/>
        <v/>
      </c>
      <c r="AF52" s="131" t="str">
        <f t="shared" si="63"/>
        <v/>
      </c>
      <c r="AG52" s="132"/>
      <c r="AH52" s="133"/>
      <c r="AI52" s="134"/>
      <c r="AJ52" s="135"/>
      <c r="AK52" s="135"/>
      <c r="AL52" s="133"/>
      <c r="AM52" s="134"/>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row>
    <row r="53" spans="1:71" ht="68.45" customHeight="1" x14ac:dyDescent="0.3">
      <c r="A53" s="211">
        <v>7</v>
      </c>
      <c r="B53" s="214" t="s">
        <v>184</v>
      </c>
      <c r="C53" s="214" t="s">
        <v>307</v>
      </c>
      <c r="D53" s="214" t="s">
        <v>116</v>
      </c>
      <c r="E53" s="164" t="s">
        <v>308</v>
      </c>
      <c r="F53" s="214" t="s">
        <v>350</v>
      </c>
      <c r="G53" s="226" t="s">
        <v>194</v>
      </c>
      <c r="H53" s="217" t="s">
        <v>351</v>
      </c>
      <c r="I53" s="214" t="s">
        <v>211</v>
      </c>
      <c r="J53" s="238">
        <v>2</v>
      </c>
      <c r="K53" s="223" t="str">
        <f>IF(J53&lt;=0,"",IF(J53&lt;=2,"Muy Baja",IF(J53&lt;=24,"Baja",IF(J53&lt;=500,"Media",IF(J53&lt;=5000,"Alta","Muy Alta")))))</f>
        <v>Muy Baja</v>
      </c>
      <c r="L53" s="232">
        <f>IF(K53="","",IF(K53="Muy Baja",0.2,IF(K53="Baja",0.4,IF(K53="Media",0.6,IF(K53="Alta",0.8,IF(K53="Muy Alta",1,))))))</f>
        <v>0.2</v>
      </c>
      <c r="M53" s="220" t="s">
        <v>137</v>
      </c>
      <c r="N53" s="166" t="str">
        <f ca="1">IF(NOT(ISERROR(MATCH(M53,'Tabla Impacto'!$B$221:$B$223,0))),'Tabla Impacto'!$F$223&amp;"Por favor no seleccionar los criterios de impacto(Afectación Económica o presupuestal y Pérdida Reputacional)",M53)</f>
        <v xml:space="preserve">     El riesgo afecta la imagen de la entidad con algunos usuarios de relevancia frente al logro de los objetivos</v>
      </c>
      <c r="O53" s="223" t="str">
        <f ca="1">IF(OR(N53='Tabla Impacto'!$C$11,N53='Tabla Impacto'!$D$11),"Leve",IF(OR(N53='Tabla Impacto'!$C$12,N53='Tabla Impacto'!$D$12),"Menor",IF(OR(N53='Tabla Impacto'!$C$13,N53='Tabla Impacto'!$D$13),"Moderado",IF(OR(N53='Tabla Impacto'!$C$14,N53='Tabla Impacto'!$D$14),"Mayor",IF(OR(N53='Tabla Impacto'!$C$15,N53='Tabla Impacto'!$D$15),"Catastrófico","")))))</f>
        <v>Moderado</v>
      </c>
      <c r="P53" s="232">
        <f ca="1">IF(O53="","",IF(O53="Leve",0.2,IF(O53="Menor",0.4,IF(O53="Moderado",0.6,IF(O53="Mayor",0.8,IF(O53="Catastrófico",1,))))))</f>
        <v>0.6</v>
      </c>
      <c r="Q53" s="235" t="str">
        <f ca="1">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Moderado</v>
      </c>
      <c r="R53" s="124">
        <v>1</v>
      </c>
      <c r="S53" s="169" t="s">
        <v>333</v>
      </c>
      <c r="T53" s="125" t="str">
        <f t="shared" ref="T53:T58" si="64">IF(OR(U53="Preventivo",U53="Detectivo"),"Probabilidad",IF(U53="Correctivo","Impacto",""))</f>
        <v>Probabilidad</v>
      </c>
      <c r="U53" s="126" t="s">
        <v>13</v>
      </c>
      <c r="V53" s="126" t="s">
        <v>8</v>
      </c>
      <c r="W53" s="127" t="str">
        <f>IF(AND(U53="Preventivo",V53="Automático"),"50%",IF(AND(U53="Preventivo",V53="Manual"),"40%",IF(AND(U53="Detectivo",V53="Automático"),"40%",IF(AND(U53="Detectivo",V53="Manual"),"30%",IF(AND(U53="Correctivo",V53="Automático"),"35%",IF(AND(U53="Correctivo",V53="Manual"),"25%",""))))))</f>
        <v>40%</v>
      </c>
      <c r="X53" s="126" t="s">
        <v>18</v>
      </c>
      <c r="Y53" s="126" t="s">
        <v>21</v>
      </c>
      <c r="Z53" s="126" t="s">
        <v>111</v>
      </c>
      <c r="AA53" s="128">
        <f>IFERROR(IF(T53="Probabilidad",(L53-(+L53*W53)),IF(T53="Impacto",L53,"")),"")</f>
        <v>0.12</v>
      </c>
      <c r="AB53" s="129" t="str">
        <f>IFERROR(IF(AA53="","",IF(AA53&lt;=0.2,"Muy Baja",IF(AA53&lt;=0.4,"Baja",IF(AA53&lt;=0.6,"Media",IF(AA53&lt;=0.8,"Alta","Muy Alta"))))),"")</f>
        <v>Muy Baja</v>
      </c>
      <c r="AC53" s="130">
        <f>+AA53</f>
        <v>0.12</v>
      </c>
      <c r="AD53" s="129" t="str">
        <f ca="1">IFERROR(IF(AE53="","",IF(AE53&lt;=0.2,"Leve",IF(AE53&lt;=0.4,"Menor",IF(AE53&lt;=0.6,"Moderado",IF(AE53&lt;=0.8,"Mayor","Catastrófico"))))),"")</f>
        <v>Moderado</v>
      </c>
      <c r="AE53" s="138">
        <f ca="1">IFERROR(IF(T53="Impacto",(P53-(+P53*W53)),IF(T53="Probabilidad",P53,"")),"")</f>
        <v>0.6</v>
      </c>
      <c r="AF53" s="131" t="str">
        <f ca="1">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Moderado</v>
      </c>
      <c r="AG53" s="132" t="s">
        <v>30</v>
      </c>
      <c r="AH53" s="133"/>
      <c r="AI53" s="134"/>
      <c r="AJ53" s="135"/>
      <c r="AK53" s="135"/>
      <c r="AL53" s="133"/>
      <c r="AM53" s="134"/>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row>
    <row r="54" spans="1:71" ht="68.45" customHeight="1" x14ac:dyDescent="0.3">
      <c r="A54" s="212"/>
      <c r="B54" s="215"/>
      <c r="C54" s="215"/>
      <c r="D54" s="215"/>
      <c r="E54" s="164"/>
      <c r="F54" s="215"/>
      <c r="G54" s="227"/>
      <c r="H54" s="218"/>
      <c r="I54" s="215"/>
      <c r="J54" s="239"/>
      <c r="K54" s="224"/>
      <c r="L54" s="233"/>
      <c r="M54" s="221"/>
      <c r="N54" s="167">
        <f ca="1">IF(NOT(ISERROR(MATCH(M54,_xlfn.ANCHORARRAY(H77),0))),L79&amp;"Por favor no seleccionar los criterios de impacto",M54)</f>
        <v>0</v>
      </c>
      <c r="O54" s="224"/>
      <c r="P54" s="233"/>
      <c r="Q54" s="236"/>
      <c r="R54" s="124">
        <v>2</v>
      </c>
      <c r="S54" s="169"/>
      <c r="T54" s="125" t="str">
        <f t="shared" si="64"/>
        <v/>
      </c>
      <c r="U54" s="126"/>
      <c r="V54" s="126"/>
      <c r="W54" s="127" t="str">
        <f t="shared" ref="W54:W58" si="65">IF(AND(U54="Preventivo",V54="Automático"),"50%",IF(AND(U54="Preventivo",V54="Manual"),"40%",IF(AND(U54="Detectivo",V54="Automático"),"40%",IF(AND(U54="Detectivo",V54="Manual"),"30%",IF(AND(U54="Correctivo",V54="Automático"),"35%",IF(AND(U54="Correctivo",V54="Manual"),"25%",""))))))</f>
        <v/>
      </c>
      <c r="X54" s="126"/>
      <c r="Y54" s="126"/>
      <c r="Z54" s="126"/>
      <c r="AA54" s="128" t="str">
        <f>IFERROR(IF(AND(T53="Probabilidad",T54="Probabilidad"),(AC53-(+AC53*W54)),IF(T54="Probabilidad",(L53-(+L53*W54)),IF(T54="Impacto",AC53,""))),"")</f>
        <v/>
      </c>
      <c r="AB54" s="129" t="str">
        <f t="shared" ref="AB54:AB58" si="66">IFERROR(IF(AA54="","",IF(AA54&lt;=0.2,"Muy Baja",IF(AA54&lt;=0.4,"Baja",IF(AA54&lt;=0.6,"Media",IF(AA54&lt;=0.8,"Alta","Muy Alta"))))),"")</f>
        <v/>
      </c>
      <c r="AC54" s="130" t="str">
        <f t="shared" ref="AC54:AC58" si="67">+AA54</f>
        <v/>
      </c>
      <c r="AD54" s="129" t="str">
        <f t="shared" ref="AD54:AD58" si="68">IFERROR(IF(AE54="","",IF(AE54&lt;=0.2,"Leve",IF(AE54&lt;=0.4,"Menor",IF(AE54&lt;=0.6,"Moderado",IF(AE54&lt;=0.8,"Mayor","Catastrófico"))))),"")</f>
        <v/>
      </c>
      <c r="AE54" s="138" t="str">
        <f>IFERROR(IF(AND(T53="Impacto",T54="Impacto"),(AE53-(+AE53*W54)),IF(T54="Impacto",(P53-(+P53*W54)),IF(T54="Probabilidad",AE53,""))),"")</f>
        <v/>
      </c>
      <c r="AF54" s="131" t="str">
        <f t="shared" ref="AF54:AF55" si="69">IFERROR(IF(OR(AND(AB54="Muy Baja",AD54="Leve"),AND(AB54="Muy Baja",AD54="Menor"),AND(AB54="Baja",AD54="Leve")),"Bajo",IF(OR(AND(AB54="Muy baja",AD54="Moderado"),AND(AB54="Baja",AD54="Menor"),AND(AB54="Baja",AD54="Moderado"),AND(AB54="Media",AD54="Leve"),AND(AB54="Media",AD54="Menor"),AND(AB54="Media",AD54="Moderado"),AND(AB54="Alta",AD54="Leve"),AND(AB54="Alta",AD54="Menor")),"Moderado",IF(OR(AND(AB54="Muy Baja",AD54="Mayor"),AND(AB54="Baja",AD54="Mayor"),AND(AB54="Media",AD54="Mayor"),AND(AB54="Alta",AD54="Moderado"),AND(AB54="Alta",AD54="Mayor"),AND(AB54="Muy Alta",AD54="Leve"),AND(AB54="Muy Alta",AD54="Menor"),AND(AB54="Muy Alta",AD54="Moderado"),AND(AB54="Muy Alta",AD54="Mayor")),"Alto",IF(OR(AND(AB54="Muy Baja",AD54="Catastrófico"),AND(AB54="Baja",AD54="Catastrófico"),AND(AB54="Media",AD54="Catastrófico"),AND(AB54="Alta",AD54="Catastrófico"),AND(AB54="Muy Alta",AD54="Catastrófico")),"Extremo","")))),"")</f>
        <v/>
      </c>
      <c r="AG54" s="132"/>
      <c r="AH54" s="133"/>
      <c r="AI54" s="134"/>
      <c r="AJ54" s="135"/>
      <c r="AK54" s="135"/>
      <c r="AL54" s="133"/>
      <c r="AM54" s="134"/>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row>
    <row r="55" spans="1:71" ht="68.45" customHeight="1" x14ac:dyDescent="0.3">
      <c r="A55" s="212"/>
      <c r="B55" s="215"/>
      <c r="C55" s="215"/>
      <c r="D55" s="215"/>
      <c r="E55" s="164"/>
      <c r="F55" s="215"/>
      <c r="G55" s="227"/>
      <c r="H55" s="218"/>
      <c r="I55" s="215"/>
      <c r="J55" s="239"/>
      <c r="K55" s="224"/>
      <c r="L55" s="233"/>
      <c r="M55" s="221"/>
      <c r="N55" s="167">
        <f ca="1">IF(NOT(ISERROR(MATCH(M55,_xlfn.ANCHORARRAY(H78),0))),L80&amp;"Por favor no seleccionar los criterios de impacto",M55)</f>
        <v>0</v>
      </c>
      <c r="O55" s="224"/>
      <c r="P55" s="233"/>
      <c r="Q55" s="236"/>
      <c r="R55" s="124">
        <v>3</v>
      </c>
      <c r="S55" s="136"/>
      <c r="T55" s="125" t="str">
        <f t="shared" si="64"/>
        <v/>
      </c>
      <c r="U55" s="126"/>
      <c r="V55" s="126"/>
      <c r="W55" s="127" t="str">
        <f t="shared" si="65"/>
        <v/>
      </c>
      <c r="X55" s="126"/>
      <c r="Y55" s="126"/>
      <c r="Z55" s="126"/>
      <c r="AA55" s="128" t="str">
        <f>IFERROR(IF(AND(T54="Probabilidad",T55="Probabilidad"),(AC54-(+AC54*W55)),IF(AND(T54="Impacto",T55="Probabilidad"),(AC53-(+AC53*W55)),IF(T55="Impacto",AC54,""))),"")</f>
        <v/>
      </c>
      <c r="AB55" s="129" t="str">
        <f t="shared" si="66"/>
        <v/>
      </c>
      <c r="AC55" s="130" t="str">
        <f t="shared" si="67"/>
        <v/>
      </c>
      <c r="AD55" s="129" t="str">
        <f t="shared" si="68"/>
        <v/>
      </c>
      <c r="AE55" s="138" t="str">
        <f>IFERROR(IF(AND(T54="Impacto",T55="Impacto"),(AE54-(+AE54*W55)),IF(AND(T54="Probabilidad",T55="Impacto"),(AE53-(+AE53*W55)),IF(T55="Probabilidad",AE54,""))),"")</f>
        <v/>
      </c>
      <c r="AF55" s="131" t="str">
        <f t="shared" si="69"/>
        <v/>
      </c>
      <c r="AG55" s="132"/>
      <c r="AH55" s="133"/>
      <c r="AI55" s="134"/>
      <c r="AJ55" s="135"/>
      <c r="AK55" s="135"/>
      <c r="AL55" s="133"/>
      <c r="AM55" s="134"/>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row>
    <row r="56" spans="1:71" ht="68.45" customHeight="1" x14ac:dyDescent="0.3">
      <c r="A56" s="212"/>
      <c r="B56" s="215"/>
      <c r="C56" s="215"/>
      <c r="D56" s="215"/>
      <c r="E56" s="164"/>
      <c r="F56" s="215"/>
      <c r="G56" s="227"/>
      <c r="H56" s="218"/>
      <c r="I56" s="215"/>
      <c r="J56" s="239"/>
      <c r="K56" s="224"/>
      <c r="L56" s="233"/>
      <c r="M56" s="221"/>
      <c r="N56" s="167">
        <f ca="1">IF(NOT(ISERROR(MATCH(M56,_xlfn.ANCHORARRAY(H79),0))),L81&amp;"Por favor no seleccionar los criterios de impacto",M56)</f>
        <v>0</v>
      </c>
      <c r="O56" s="224"/>
      <c r="P56" s="233"/>
      <c r="Q56" s="236"/>
      <c r="R56" s="124">
        <v>4</v>
      </c>
      <c r="S56" s="169"/>
      <c r="T56" s="125" t="str">
        <f t="shared" si="64"/>
        <v/>
      </c>
      <c r="U56" s="126"/>
      <c r="V56" s="126"/>
      <c r="W56" s="127" t="str">
        <f t="shared" si="65"/>
        <v/>
      </c>
      <c r="X56" s="126"/>
      <c r="Y56" s="126"/>
      <c r="Z56" s="126"/>
      <c r="AA56" s="128" t="str">
        <f t="shared" ref="AA56:AA58" si="70">IFERROR(IF(AND(T55="Probabilidad",T56="Probabilidad"),(AC55-(+AC55*W56)),IF(AND(T55="Impacto",T56="Probabilidad"),(AC54-(+AC54*W56)),IF(T56="Impacto",AC55,""))),"")</f>
        <v/>
      </c>
      <c r="AB56" s="129" t="str">
        <f t="shared" si="66"/>
        <v/>
      </c>
      <c r="AC56" s="130" t="str">
        <f t="shared" si="67"/>
        <v/>
      </c>
      <c r="AD56" s="129" t="str">
        <f t="shared" si="68"/>
        <v/>
      </c>
      <c r="AE56" s="138" t="str">
        <f t="shared" ref="AE56:AE58" si="71">IFERROR(IF(AND(T55="Impacto",T56="Impacto"),(AE55-(+AE55*W56)),IF(AND(T55="Probabilidad",T56="Impacto"),(AE54-(+AE54*W56)),IF(T56="Probabilidad",AE55,""))),"")</f>
        <v/>
      </c>
      <c r="AF56" s="131" t="str">
        <f>IFERROR(IF(OR(AND(AB56="Muy Baja",AD56="Leve"),AND(AB56="Muy Baja",AD56="Menor"),AND(AB56="Baja",AD56="Leve")),"Bajo",IF(OR(AND(AB56="Muy baja",AD56="Moderado"),AND(AB56="Baja",AD56="Menor"),AND(AB56="Baja",AD56="Moderado"),AND(AB56="Media",AD56="Leve"),AND(AB56="Media",AD56="Menor"),AND(AB56="Media",AD56="Moderado"),AND(AB56="Alta",AD56="Leve"),AND(AB56="Alta",AD56="Menor")),"Moderado",IF(OR(AND(AB56="Muy Baja",AD56="Mayor"),AND(AB56="Baja",AD56="Mayor"),AND(AB56="Media",AD56="Mayor"),AND(AB56="Alta",AD56="Moderado"),AND(AB56="Alta",AD56="Mayor"),AND(AB56="Muy Alta",AD56="Leve"),AND(AB56="Muy Alta",AD56="Menor"),AND(AB56="Muy Alta",AD56="Moderado"),AND(AB56="Muy Alta",AD56="Mayor")),"Alto",IF(OR(AND(AB56="Muy Baja",AD56="Catastrófico"),AND(AB56="Baja",AD56="Catastrófico"),AND(AB56="Media",AD56="Catastrófico"),AND(AB56="Alta",AD56="Catastrófico"),AND(AB56="Muy Alta",AD56="Catastrófico")),"Extremo","")))),"")</f>
        <v/>
      </c>
      <c r="AG56" s="132"/>
      <c r="AH56" s="133"/>
      <c r="AI56" s="134"/>
      <c r="AJ56" s="135"/>
      <c r="AK56" s="135"/>
      <c r="AL56" s="133"/>
      <c r="AM56" s="134"/>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row>
    <row r="57" spans="1:71" ht="68.45" customHeight="1" x14ac:dyDescent="0.3">
      <c r="A57" s="212"/>
      <c r="B57" s="215"/>
      <c r="C57" s="215"/>
      <c r="D57" s="215"/>
      <c r="E57" s="164"/>
      <c r="F57" s="215"/>
      <c r="G57" s="227"/>
      <c r="H57" s="218"/>
      <c r="I57" s="215"/>
      <c r="J57" s="239"/>
      <c r="K57" s="224"/>
      <c r="L57" s="233"/>
      <c r="M57" s="221"/>
      <c r="N57" s="167">
        <f ca="1">IF(NOT(ISERROR(MATCH(M57,_xlfn.ANCHORARRAY(H80),0))),L82&amp;"Por favor no seleccionar los criterios de impacto",M57)</f>
        <v>0</v>
      </c>
      <c r="O57" s="224"/>
      <c r="P57" s="233"/>
      <c r="Q57" s="236"/>
      <c r="R57" s="124">
        <v>5</v>
      </c>
      <c r="S57" s="169"/>
      <c r="T57" s="125" t="str">
        <f t="shared" si="64"/>
        <v/>
      </c>
      <c r="U57" s="126"/>
      <c r="V57" s="126"/>
      <c r="W57" s="127" t="str">
        <f t="shared" si="65"/>
        <v/>
      </c>
      <c r="X57" s="126"/>
      <c r="Y57" s="126"/>
      <c r="Z57" s="126"/>
      <c r="AA57" s="128" t="str">
        <f t="shared" si="70"/>
        <v/>
      </c>
      <c r="AB57" s="129" t="str">
        <f t="shared" si="66"/>
        <v/>
      </c>
      <c r="AC57" s="130" t="str">
        <f t="shared" si="67"/>
        <v/>
      </c>
      <c r="AD57" s="129" t="str">
        <f t="shared" si="68"/>
        <v/>
      </c>
      <c r="AE57" s="138" t="str">
        <f t="shared" si="71"/>
        <v/>
      </c>
      <c r="AF57" s="131" t="str">
        <f t="shared" ref="AF57:AF58" si="72">IFERROR(IF(OR(AND(AB57="Muy Baja",AD57="Leve"),AND(AB57="Muy Baja",AD57="Menor"),AND(AB57="Baja",AD57="Leve")),"Bajo",IF(OR(AND(AB57="Muy baja",AD57="Moderado"),AND(AB57="Baja",AD57="Menor"),AND(AB57="Baja",AD57="Moderado"),AND(AB57="Media",AD57="Leve"),AND(AB57="Media",AD57="Menor"),AND(AB57="Media",AD57="Moderado"),AND(AB57="Alta",AD57="Leve"),AND(AB57="Alta",AD57="Menor")),"Moderado",IF(OR(AND(AB57="Muy Baja",AD57="Mayor"),AND(AB57="Baja",AD57="Mayor"),AND(AB57="Media",AD57="Mayor"),AND(AB57="Alta",AD57="Moderado"),AND(AB57="Alta",AD57="Mayor"),AND(AB57="Muy Alta",AD57="Leve"),AND(AB57="Muy Alta",AD57="Menor"),AND(AB57="Muy Alta",AD57="Moderado"),AND(AB57="Muy Alta",AD57="Mayor")),"Alto",IF(OR(AND(AB57="Muy Baja",AD57="Catastrófico"),AND(AB57="Baja",AD57="Catastrófico"),AND(AB57="Media",AD57="Catastrófico"),AND(AB57="Alta",AD57="Catastrófico"),AND(AB57="Muy Alta",AD57="Catastrófico")),"Extremo","")))),"")</f>
        <v/>
      </c>
      <c r="AG57" s="132"/>
      <c r="AH57" s="133"/>
      <c r="AI57" s="134"/>
      <c r="AJ57" s="135"/>
      <c r="AK57" s="135"/>
      <c r="AL57" s="133"/>
      <c r="AM57" s="134"/>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row>
    <row r="58" spans="1:71" ht="68.45" customHeight="1" x14ac:dyDescent="0.3">
      <c r="A58" s="213"/>
      <c r="B58" s="216"/>
      <c r="C58" s="216"/>
      <c r="D58" s="216"/>
      <c r="E58" s="165"/>
      <c r="F58" s="216"/>
      <c r="G58" s="228"/>
      <c r="H58" s="219"/>
      <c r="I58" s="216"/>
      <c r="J58" s="240"/>
      <c r="K58" s="225"/>
      <c r="L58" s="234"/>
      <c r="M58" s="222"/>
      <c r="N58" s="168">
        <f ca="1">IF(NOT(ISERROR(MATCH(M58,_xlfn.ANCHORARRAY(H81),0))),L83&amp;"Por favor no seleccionar los criterios de impacto",M58)</f>
        <v>0</v>
      </c>
      <c r="O58" s="225"/>
      <c r="P58" s="234"/>
      <c r="Q58" s="237"/>
      <c r="R58" s="124">
        <v>6</v>
      </c>
      <c r="S58" s="169"/>
      <c r="T58" s="125" t="str">
        <f t="shared" si="64"/>
        <v/>
      </c>
      <c r="U58" s="126"/>
      <c r="V58" s="126"/>
      <c r="W58" s="127" t="str">
        <f t="shared" si="65"/>
        <v/>
      </c>
      <c r="X58" s="126"/>
      <c r="Y58" s="126"/>
      <c r="Z58" s="126"/>
      <c r="AA58" s="128" t="str">
        <f t="shared" si="70"/>
        <v/>
      </c>
      <c r="AB58" s="129" t="str">
        <f t="shared" si="66"/>
        <v/>
      </c>
      <c r="AC58" s="130" t="str">
        <f t="shared" si="67"/>
        <v/>
      </c>
      <c r="AD58" s="129" t="str">
        <f t="shared" si="68"/>
        <v/>
      </c>
      <c r="AE58" s="138" t="str">
        <f t="shared" si="71"/>
        <v/>
      </c>
      <c r="AF58" s="131" t="str">
        <f t="shared" si="72"/>
        <v/>
      </c>
      <c r="AG58" s="132"/>
      <c r="AH58" s="133"/>
      <c r="AI58" s="134"/>
      <c r="AJ58" s="135"/>
      <c r="AK58" s="135"/>
      <c r="AL58" s="133"/>
      <c r="AM58" s="134"/>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row>
    <row r="59" spans="1:71" ht="68.45" customHeight="1" x14ac:dyDescent="0.3">
      <c r="A59" s="211">
        <v>8</v>
      </c>
      <c r="B59" s="214" t="s">
        <v>189</v>
      </c>
      <c r="C59" s="214" t="s">
        <v>305</v>
      </c>
      <c r="D59" s="214" t="s">
        <v>116</v>
      </c>
      <c r="E59" s="163" t="s">
        <v>334</v>
      </c>
      <c r="F59" s="214" t="s">
        <v>335</v>
      </c>
      <c r="G59" s="226" t="s">
        <v>196</v>
      </c>
      <c r="H59" s="226" t="s">
        <v>336</v>
      </c>
      <c r="I59" s="214" t="s">
        <v>216</v>
      </c>
      <c r="J59" s="238">
        <v>340</v>
      </c>
      <c r="K59" s="223" t="str">
        <f>IF(J59&lt;=0,"",IF(J59&lt;=2,"Muy Baja",IF(J59&lt;=24,"Baja",IF(J59&lt;=500,"Media",IF(J59&lt;=5000,"Alta","Muy Alta")))))</f>
        <v>Media</v>
      </c>
      <c r="L59" s="232">
        <f>IF(K59="","",IF(K59="Muy Baja",0.2,IF(K59="Baja",0.4,IF(K59="Media",0.6,IF(K59="Alta",0.8,IF(K59="Muy Alta",1,))))))</f>
        <v>0.6</v>
      </c>
      <c r="M59" s="220" t="s">
        <v>136</v>
      </c>
      <c r="N59" s="232" t="str">
        <f ca="1">IF(NOT(ISERROR(MATCH(M59,'Tabla Impacto'!$B$221:$B$223,0))),'Tabla Impacto'!$F$223&amp;"Por favor no seleccionar los criterios de impacto(Afectación Económica o presupuestal y Pérdida Reputacional)",M59)</f>
        <v xml:space="preserve">     El riesgo afecta la imagen de la entidad internamente, de conocimiento general, nivel interno, de junta dircetiva y accionistas y/o de provedores</v>
      </c>
      <c r="O59" s="223" t="str">
        <f ca="1">IF(OR(N59='Tabla Impacto'!$C$11,N59='Tabla Impacto'!$D$11),"Leve",IF(OR(N59='Tabla Impacto'!$C$12,N59='Tabla Impacto'!$D$12),"Menor",IF(OR(N59='Tabla Impacto'!$C$13,N59='Tabla Impacto'!$D$13),"Moderado",IF(OR(N59='Tabla Impacto'!$C$14,N59='Tabla Impacto'!$D$14),"Mayor",IF(OR(N59='Tabla Impacto'!$C$15,N59='Tabla Impacto'!$D$15),"Catastrófico","")))))</f>
        <v>Menor</v>
      </c>
      <c r="P59" s="232">
        <f ca="1">IF(O59="","",IF(O59="Leve",0.2,IF(O59="Menor",0.4,IF(O59="Moderado",0.6,IF(O59="Mayor",0.8,IF(O59="Catastrófico",1,))))))</f>
        <v>0.4</v>
      </c>
      <c r="Q59" s="235" t="str">
        <f ca="1">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Moderado</v>
      </c>
      <c r="R59" s="124">
        <v>1</v>
      </c>
      <c r="S59" s="169" t="s">
        <v>337</v>
      </c>
      <c r="T59" s="125" t="str">
        <f t="shared" ref="T59:T76" si="73">IF(OR(U59="Preventivo",U59="Detectivo"),"Probabilidad",IF(U59="Correctivo","Impacto",""))</f>
        <v>Impacto</v>
      </c>
      <c r="U59" s="126" t="s">
        <v>15</v>
      </c>
      <c r="V59" s="126" t="s">
        <v>9</v>
      </c>
      <c r="W59" s="127" t="str">
        <f>IF(AND(U59="Preventivo",V59="Automático"),"50%",IF(AND(U59="Preventivo",V59="Manual"),"40%",IF(AND(U59="Detectivo",V59="Automático"),"40%",IF(AND(U59="Detectivo",V59="Manual"),"30%",IF(AND(U59="Correctivo",V59="Automático"),"35%",IF(AND(U59="Correctivo",V59="Manual"),"25%",""))))))</f>
        <v>35%</v>
      </c>
      <c r="X59" s="126" t="s">
        <v>18</v>
      </c>
      <c r="Y59" s="126" t="s">
        <v>21</v>
      </c>
      <c r="Z59" s="126" t="s">
        <v>111</v>
      </c>
      <c r="AA59" s="128">
        <f>IFERROR(IF(T59="Probabilidad",(L59-(+L59*W59)),IF(T59="Impacto",L59,"")),"")</f>
        <v>0.6</v>
      </c>
      <c r="AB59" s="129" t="str">
        <f>IFERROR(IF(AA59="","",IF(AA59&lt;=0.2,"Muy Baja",IF(AA59&lt;=0.4,"Baja",IF(AA59&lt;=0.6,"Media",IF(AA59&lt;=0.8,"Alta","Muy Alta"))))),"")</f>
        <v>Media</v>
      </c>
      <c r="AC59" s="130">
        <f>+AA59</f>
        <v>0.6</v>
      </c>
      <c r="AD59" s="129" t="str">
        <f ca="1">IFERROR(IF(AE59="","",IF(AE59&lt;=0.2,"Leve",IF(AE59&lt;=0.4,"Menor",IF(AE59&lt;=0.6,"Moderado",IF(AE59&lt;=0.8,"Mayor","Catastrófico"))))),"")</f>
        <v>Menor</v>
      </c>
      <c r="AE59" s="138">
        <f ca="1">IFERROR(IF(T59="Impacto",(P59-(+P59*W59)),IF(T59="Probabilidad",P59,"")),"")</f>
        <v>0.26</v>
      </c>
      <c r="AF59" s="131" t="str">
        <f ca="1">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Moderado</v>
      </c>
      <c r="AG59" s="132" t="s">
        <v>30</v>
      </c>
      <c r="AH59" s="133"/>
      <c r="AI59" s="134"/>
      <c r="AJ59" s="135"/>
      <c r="AK59" s="135"/>
      <c r="AL59" s="133"/>
      <c r="AM59" s="134"/>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row>
    <row r="60" spans="1:71" ht="68.45" customHeight="1" x14ac:dyDescent="0.3">
      <c r="A60" s="212"/>
      <c r="B60" s="215"/>
      <c r="C60" s="215"/>
      <c r="D60" s="215"/>
      <c r="E60" s="164"/>
      <c r="F60" s="215"/>
      <c r="G60" s="227"/>
      <c r="H60" s="227"/>
      <c r="I60" s="215"/>
      <c r="J60" s="239"/>
      <c r="K60" s="224"/>
      <c r="L60" s="233"/>
      <c r="M60" s="221"/>
      <c r="N60" s="233">
        <f ca="1">IF(NOT(ISERROR(MATCH(M60,_xlfn.ANCHORARRAY(H77),0))),L79&amp;"Por favor no seleccionar los criterios de impacto",M60)</f>
        <v>0</v>
      </c>
      <c r="O60" s="224"/>
      <c r="P60" s="233"/>
      <c r="Q60" s="236"/>
      <c r="R60" s="124">
        <v>2</v>
      </c>
      <c r="S60" s="169" t="s">
        <v>310</v>
      </c>
      <c r="T60" s="125" t="str">
        <f t="shared" si="73"/>
        <v>Probabilidad</v>
      </c>
      <c r="U60" s="126" t="s">
        <v>13</v>
      </c>
      <c r="V60" s="126" t="s">
        <v>8</v>
      </c>
      <c r="W60" s="127" t="str">
        <f t="shared" ref="W60:W70" si="74">IF(AND(U60="Preventivo",V60="Automático"),"50%",IF(AND(U60="Preventivo",V60="Manual"),"40%",IF(AND(U60="Detectivo",V60="Automático"),"40%",IF(AND(U60="Detectivo",V60="Manual"),"30%",IF(AND(U60="Correctivo",V60="Automático"),"35%",IF(AND(U60="Correctivo",V60="Manual"),"25%",""))))))</f>
        <v>40%</v>
      </c>
      <c r="X60" s="126" t="s">
        <v>18</v>
      </c>
      <c r="Y60" s="126" t="s">
        <v>21</v>
      </c>
      <c r="Z60" s="126" t="s">
        <v>111</v>
      </c>
      <c r="AA60" s="128">
        <f>IFERROR(IF(AND(T59="Probabilidad",T60="Probabilidad"),(AC59-(+AC59*W60)),IF(T60="Probabilidad",(L59-(+L59*W60)),IF(T60="Impacto",AC59,""))),"")</f>
        <v>0.36</v>
      </c>
      <c r="AB60" s="129" t="str">
        <f t="shared" ref="AB60:AB62" si="75">IFERROR(IF(AA60="","",IF(AA60&lt;=0.2,"Muy Baja",IF(AA60&lt;=0.4,"Baja",IF(AA60&lt;=0.6,"Media",IF(AA60&lt;=0.8,"Alta","Muy Alta"))))),"")</f>
        <v>Baja</v>
      </c>
      <c r="AC60" s="130">
        <f t="shared" ref="AC60:AC70" si="76">+AA60</f>
        <v>0.36</v>
      </c>
      <c r="AD60" s="129" t="str">
        <f t="shared" ref="AD60:AD70" ca="1" si="77">IFERROR(IF(AE60="","",IF(AE60&lt;=0.2,"Leve",IF(AE60&lt;=0.4,"Menor",IF(AE60&lt;=0.6,"Moderado",IF(AE60&lt;=0.8,"Mayor","Catastrófico"))))),"")</f>
        <v>Menor</v>
      </c>
      <c r="AE60" s="138">
        <f ca="1">IFERROR(IF(AND(T59="Impacto",T60="Impacto"),(AE59-(+AE59*W60)),IF(T60="Impacto",(P59-(+P59*W60)),IF(T60="Probabilidad",AE59,""))),"")</f>
        <v>0.26</v>
      </c>
      <c r="AF60" s="131" t="str">
        <f t="shared" ref="AF60:AF61" ca="1" si="78">IFERROR(IF(OR(AND(AB60="Muy Baja",AD60="Leve"),AND(AB60="Muy Baja",AD60="Menor"),AND(AB60="Baja",AD60="Leve")),"Bajo",IF(OR(AND(AB60="Muy baja",AD60="Moderado"),AND(AB60="Baja",AD60="Menor"),AND(AB60="Baja",AD60="Moderado"),AND(AB60="Media",AD60="Leve"),AND(AB60="Media",AD60="Menor"),AND(AB60="Media",AD60="Moderado"),AND(AB60="Alta",AD60="Leve"),AND(AB60="Alta",AD60="Menor")),"Moderado",IF(OR(AND(AB60="Muy Baja",AD60="Mayor"),AND(AB60="Baja",AD60="Mayor"),AND(AB60="Media",AD60="Mayor"),AND(AB60="Alta",AD60="Moderado"),AND(AB60="Alta",AD60="Mayor"),AND(AB60="Muy Alta",AD60="Leve"),AND(AB60="Muy Alta",AD60="Menor"),AND(AB60="Muy Alta",AD60="Moderado"),AND(AB60="Muy Alta",AD60="Mayor")),"Alto",IF(OR(AND(AB60="Muy Baja",AD60="Catastrófico"),AND(AB60="Baja",AD60="Catastrófico"),AND(AB60="Media",AD60="Catastrófico"),AND(AB60="Alta",AD60="Catastrófico"),AND(AB60="Muy Alta",AD60="Catastrófico")),"Extremo","")))),"")</f>
        <v>Moderado</v>
      </c>
      <c r="AG60" s="132" t="s">
        <v>30</v>
      </c>
      <c r="AH60" s="133"/>
      <c r="AI60" s="134"/>
      <c r="AJ60" s="135"/>
      <c r="AK60" s="135"/>
      <c r="AL60" s="133"/>
      <c r="AM60" s="134"/>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row>
    <row r="61" spans="1:71" ht="68.45" customHeight="1" x14ac:dyDescent="0.3">
      <c r="A61" s="212"/>
      <c r="B61" s="215"/>
      <c r="C61" s="215"/>
      <c r="D61" s="215"/>
      <c r="E61" s="164"/>
      <c r="F61" s="215"/>
      <c r="G61" s="227"/>
      <c r="H61" s="227"/>
      <c r="I61" s="215"/>
      <c r="J61" s="239"/>
      <c r="K61" s="224"/>
      <c r="L61" s="233"/>
      <c r="M61" s="221"/>
      <c r="N61" s="233">
        <f ca="1">IF(NOT(ISERROR(MATCH(M61,_xlfn.ANCHORARRAY(H78),0))),L80&amp;"Por favor no seleccionar los criterios de impacto",M61)</f>
        <v>0</v>
      </c>
      <c r="O61" s="224"/>
      <c r="P61" s="233"/>
      <c r="Q61" s="236"/>
      <c r="R61" s="124">
        <v>3</v>
      </c>
      <c r="S61" s="136"/>
      <c r="T61" s="125" t="str">
        <f t="shared" si="73"/>
        <v/>
      </c>
      <c r="U61" s="126"/>
      <c r="V61" s="126"/>
      <c r="W61" s="127" t="str">
        <f t="shared" si="74"/>
        <v/>
      </c>
      <c r="X61" s="126"/>
      <c r="Y61" s="126"/>
      <c r="Z61" s="126"/>
      <c r="AA61" s="128" t="str">
        <f>IFERROR(IF(AND(T60="Probabilidad",T61="Probabilidad"),(AC60-(+AC60*W61)),IF(AND(T60="Impacto",T61="Probabilidad"),(AC59-(+AC59*W61)),IF(T61="Impacto",AC60,""))),"")</f>
        <v/>
      </c>
      <c r="AB61" s="129" t="str">
        <f t="shared" si="75"/>
        <v/>
      </c>
      <c r="AC61" s="130" t="str">
        <f t="shared" si="76"/>
        <v/>
      </c>
      <c r="AD61" s="129" t="str">
        <f t="shared" si="77"/>
        <v/>
      </c>
      <c r="AE61" s="138" t="str">
        <f>IFERROR(IF(AND(T60="Impacto",T61="Impacto"),(AE60-(+AE60*W61)),IF(AND(T60="Probabilidad",T61="Impacto"),(AE59-(+AE59*W61)),IF(T61="Probabilidad",AE60,""))),"")</f>
        <v/>
      </c>
      <c r="AF61" s="131" t="str">
        <f t="shared" si="78"/>
        <v/>
      </c>
      <c r="AG61" s="132"/>
      <c r="AH61" s="133"/>
      <c r="AI61" s="134"/>
      <c r="AJ61" s="135"/>
      <c r="AK61" s="135"/>
      <c r="AL61" s="133"/>
      <c r="AM61" s="134"/>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row>
    <row r="62" spans="1:71" ht="68.45" customHeight="1" x14ac:dyDescent="0.3">
      <c r="A62" s="212"/>
      <c r="B62" s="215"/>
      <c r="C62" s="215"/>
      <c r="D62" s="215"/>
      <c r="E62" s="164"/>
      <c r="F62" s="215"/>
      <c r="G62" s="227"/>
      <c r="H62" s="227"/>
      <c r="I62" s="215"/>
      <c r="J62" s="239"/>
      <c r="K62" s="224"/>
      <c r="L62" s="233"/>
      <c r="M62" s="221"/>
      <c r="N62" s="233">
        <f ca="1">IF(NOT(ISERROR(MATCH(M62,_xlfn.ANCHORARRAY(H79),0))),L81&amp;"Por favor no seleccionar los criterios de impacto",M62)</f>
        <v>0</v>
      </c>
      <c r="O62" s="224"/>
      <c r="P62" s="233"/>
      <c r="Q62" s="236"/>
      <c r="R62" s="124">
        <v>4</v>
      </c>
      <c r="S62" s="169"/>
      <c r="T62" s="125" t="str">
        <f t="shared" si="73"/>
        <v/>
      </c>
      <c r="U62" s="126"/>
      <c r="V62" s="126"/>
      <c r="W62" s="127" t="str">
        <f t="shared" si="74"/>
        <v/>
      </c>
      <c r="X62" s="126"/>
      <c r="Y62" s="126"/>
      <c r="Z62" s="126"/>
      <c r="AA62" s="128" t="str">
        <f t="shared" ref="AA62:AA63" si="79">IFERROR(IF(AND(T61="Probabilidad",T62="Probabilidad"),(AC61-(+AC61*W62)),IF(AND(T61="Impacto",T62="Probabilidad"),(AC60-(+AC60*W62)),IF(T62="Impacto",AC61,""))),"")</f>
        <v/>
      </c>
      <c r="AB62" s="129" t="str">
        <f t="shared" si="75"/>
        <v/>
      </c>
      <c r="AC62" s="130" t="str">
        <f t="shared" si="76"/>
        <v/>
      </c>
      <c r="AD62" s="129" t="str">
        <f t="shared" si="77"/>
        <v/>
      </c>
      <c r="AE62" s="138" t="str">
        <f t="shared" ref="AE62:AE63" si="80">IFERROR(IF(AND(T61="Impacto",T62="Impacto"),(AE61-(+AE61*W62)),IF(AND(T61="Probabilidad",T62="Impacto"),(AE60-(+AE60*W62)),IF(T62="Probabilidad",AE61,""))),"")</f>
        <v/>
      </c>
      <c r="AF62" s="131" t="str">
        <f>IFERROR(IF(OR(AND(AB62="Muy Baja",AD62="Leve"),AND(AB62="Muy Baja",AD62="Menor"),AND(AB62="Baja",AD62="Leve")),"Bajo",IF(OR(AND(AB62="Muy baja",AD62="Moderado"),AND(AB62="Baja",AD62="Menor"),AND(AB62="Baja",AD62="Moderado"),AND(AB62="Media",AD62="Leve"),AND(AB62="Media",AD62="Menor"),AND(AB62="Media",AD62="Moderado"),AND(AB62="Alta",AD62="Leve"),AND(AB62="Alta",AD62="Menor")),"Moderado",IF(OR(AND(AB62="Muy Baja",AD62="Mayor"),AND(AB62="Baja",AD62="Mayor"),AND(AB62="Media",AD62="Mayor"),AND(AB62="Alta",AD62="Moderado"),AND(AB62="Alta",AD62="Mayor"),AND(AB62="Muy Alta",AD62="Leve"),AND(AB62="Muy Alta",AD62="Menor"),AND(AB62="Muy Alta",AD62="Moderado"),AND(AB62="Muy Alta",AD62="Mayor")),"Alto",IF(OR(AND(AB62="Muy Baja",AD62="Catastrófico"),AND(AB62="Baja",AD62="Catastrófico"),AND(AB62="Media",AD62="Catastrófico"),AND(AB62="Alta",AD62="Catastrófico"),AND(AB62="Muy Alta",AD62="Catastrófico")),"Extremo","")))),"")</f>
        <v/>
      </c>
      <c r="AG62" s="132"/>
      <c r="AH62" s="133"/>
      <c r="AI62" s="134"/>
      <c r="AJ62" s="135"/>
      <c r="AK62" s="135"/>
      <c r="AL62" s="133"/>
      <c r="AM62" s="134"/>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row>
    <row r="63" spans="1:71" ht="68.45" customHeight="1" x14ac:dyDescent="0.3">
      <c r="A63" s="212"/>
      <c r="B63" s="215"/>
      <c r="C63" s="215"/>
      <c r="D63" s="215"/>
      <c r="E63" s="164"/>
      <c r="F63" s="215"/>
      <c r="G63" s="227"/>
      <c r="H63" s="227"/>
      <c r="I63" s="215"/>
      <c r="J63" s="239"/>
      <c r="K63" s="224"/>
      <c r="L63" s="233"/>
      <c r="M63" s="221"/>
      <c r="N63" s="233">
        <f ca="1">IF(NOT(ISERROR(MATCH(M63,_xlfn.ANCHORARRAY(H80),0))),L82&amp;"Por favor no seleccionar los criterios de impacto",M63)</f>
        <v>0</v>
      </c>
      <c r="O63" s="224"/>
      <c r="P63" s="233"/>
      <c r="Q63" s="236"/>
      <c r="R63" s="124">
        <v>5</v>
      </c>
      <c r="S63" s="169"/>
      <c r="T63" s="125" t="str">
        <f t="shared" si="73"/>
        <v/>
      </c>
      <c r="U63" s="126"/>
      <c r="V63" s="126"/>
      <c r="W63" s="127" t="str">
        <f t="shared" si="74"/>
        <v/>
      </c>
      <c r="X63" s="126"/>
      <c r="Y63" s="126"/>
      <c r="Z63" s="126"/>
      <c r="AA63" s="137" t="str">
        <f t="shared" si="79"/>
        <v/>
      </c>
      <c r="AB63" s="129" t="str">
        <f>IFERROR(IF(AA63="","",IF(AA63&lt;=0.2,"Muy Baja",IF(AA63&lt;=0.4,"Baja",IF(AA63&lt;=0.6,"Media",IF(AA63&lt;=0.8,"Alta","Muy Alta"))))),"")</f>
        <v/>
      </c>
      <c r="AC63" s="130" t="str">
        <f t="shared" si="76"/>
        <v/>
      </c>
      <c r="AD63" s="129" t="str">
        <f t="shared" si="77"/>
        <v/>
      </c>
      <c r="AE63" s="138" t="str">
        <f t="shared" si="80"/>
        <v/>
      </c>
      <c r="AF63" s="131" t="str">
        <f t="shared" ref="AF63:AF70" si="81">IFERROR(IF(OR(AND(AB63="Muy Baja",AD63="Leve"),AND(AB63="Muy Baja",AD63="Menor"),AND(AB63="Baja",AD63="Leve")),"Bajo",IF(OR(AND(AB63="Muy baja",AD63="Moderado"),AND(AB63="Baja",AD63="Menor"),AND(AB63="Baja",AD63="Moderado"),AND(AB63="Media",AD63="Leve"),AND(AB63="Media",AD63="Menor"),AND(AB63="Media",AD63="Moderado"),AND(AB63="Alta",AD63="Leve"),AND(AB63="Alta",AD63="Menor")),"Moderado",IF(OR(AND(AB63="Muy Baja",AD63="Mayor"),AND(AB63="Baja",AD63="Mayor"),AND(AB63="Media",AD63="Mayor"),AND(AB63="Alta",AD63="Moderado"),AND(AB63="Alta",AD63="Mayor"),AND(AB63="Muy Alta",AD63="Leve"),AND(AB63="Muy Alta",AD63="Menor"),AND(AB63="Muy Alta",AD63="Moderado"),AND(AB63="Muy Alta",AD63="Mayor")),"Alto",IF(OR(AND(AB63="Muy Baja",AD63="Catastrófico"),AND(AB63="Baja",AD63="Catastrófico"),AND(AB63="Media",AD63="Catastrófico"),AND(AB63="Alta",AD63="Catastrófico"),AND(AB63="Muy Alta",AD63="Catastrófico")),"Extremo","")))),"")</f>
        <v/>
      </c>
      <c r="AG63" s="132"/>
      <c r="AH63" s="133"/>
      <c r="AI63" s="134"/>
      <c r="AJ63" s="135"/>
      <c r="AK63" s="135"/>
      <c r="AL63" s="133"/>
      <c r="AM63" s="134"/>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row r="64" spans="1:71" ht="68.45" customHeight="1" x14ac:dyDescent="0.3">
      <c r="A64" s="212"/>
      <c r="B64" s="215"/>
      <c r="C64" s="215"/>
      <c r="D64" s="215"/>
      <c r="E64" s="164"/>
      <c r="F64" s="215"/>
      <c r="G64" s="227"/>
      <c r="H64" s="227"/>
      <c r="I64" s="215"/>
      <c r="J64" s="239"/>
      <c r="K64" s="224"/>
      <c r="L64" s="233"/>
      <c r="M64" s="221"/>
      <c r="N64" s="233"/>
      <c r="O64" s="224"/>
      <c r="P64" s="233"/>
      <c r="Q64" s="236"/>
      <c r="R64" s="124"/>
      <c r="S64" s="169"/>
      <c r="T64" s="125"/>
      <c r="U64" s="126"/>
      <c r="V64" s="126"/>
      <c r="W64" s="127"/>
      <c r="X64" s="126"/>
      <c r="Y64" s="126"/>
      <c r="Z64" s="126"/>
      <c r="AA64" s="137"/>
      <c r="AB64" s="129"/>
      <c r="AC64" s="130"/>
      <c r="AD64" s="129"/>
      <c r="AE64" s="138"/>
      <c r="AF64" s="131"/>
      <c r="AG64" s="132"/>
      <c r="AH64" s="133"/>
      <c r="AI64" s="134"/>
      <c r="AJ64" s="135"/>
      <c r="AK64" s="135"/>
      <c r="AL64" s="133"/>
      <c r="AM64" s="134"/>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row>
    <row r="65" spans="1:71" ht="68.45" customHeight="1" x14ac:dyDescent="0.3">
      <c r="A65" s="212"/>
      <c r="B65" s="215"/>
      <c r="C65" s="215"/>
      <c r="D65" s="215"/>
      <c r="E65" s="164"/>
      <c r="F65" s="215"/>
      <c r="G65" s="227"/>
      <c r="H65" s="227"/>
      <c r="I65" s="215"/>
      <c r="J65" s="239"/>
      <c r="K65" s="224"/>
      <c r="L65" s="233"/>
      <c r="M65" s="221"/>
      <c r="N65" s="233"/>
      <c r="O65" s="224"/>
      <c r="P65" s="233"/>
      <c r="Q65" s="236"/>
      <c r="R65" s="124"/>
      <c r="S65" s="169"/>
      <c r="T65" s="125"/>
      <c r="U65" s="126"/>
      <c r="V65" s="126"/>
      <c r="W65" s="127"/>
      <c r="X65" s="126"/>
      <c r="Y65" s="126"/>
      <c r="Z65" s="126"/>
      <c r="AA65" s="137"/>
      <c r="AB65" s="129"/>
      <c r="AC65" s="130"/>
      <c r="AD65" s="129"/>
      <c r="AE65" s="138"/>
      <c r="AF65" s="131"/>
      <c r="AG65" s="132"/>
      <c r="AH65" s="133"/>
      <c r="AI65" s="134"/>
      <c r="AJ65" s="135"/>
      <c r="AK65" s="135"/>
      <c r="AL65" s="133"/>
      <c r="AM65" s="134"/>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row>
    <row r="66" spans="1:71" ht="68.45" customHeight="1" x14ac:dyDescent="0.3">
      <c r="A66" s="212"/>
      <c r="B66" s="215"/>
      <c r="C66" s="215"/>
      <c r="D66" s="215"/>
      <c r="E66" s="164"/>
      <c r="F66" s="215"/>
      <c r="G66" s="227"/>
      <c r="H66" s="227"/>
      <c r="I66" s="215"/>
      <c r="J66" s="239"/>
      <c r="K66" s="224"/>
      <c r="L66" s="233"/>
      <c r="M66" s="221"/>
      <c r="N66" s="233"/>
      <c r="O66" s="224"/>
      <c r="P66" s="233"/>
      <c r="Q66" s="236"/>
      <c r="R66" s="124"/>
      <c r="S66" s="169"/>
      <c r="T66" s="125"/>
      <c r="U66" s="126"/>
      <c r="V66" s="126"/>
      <c r="W66" s="127"/>
      <c r="X66" s="126"/>
      <c r="Y66" s="126"/>
      <c r="Z66" s="126"/>
      <c r="AA66" s="137"/>
      <c r="AB66" s="129"/>
      <c r="AC66" s="130"/>
      <c r="AD66" s="129"/>
      <c r="AE66" s="138"/>
      <c r="AF66" s="131"/>
      <c r="AG66" s="132"/>
      <c r="AH66" s="133"/>
      <c r="AI66" s="134"/>
      <c r="AJ66" s="135"/>
      <c r="AK66" s="135"/>
      <c r="AL66" s="133"/>
      <c r="AM66" s="134"/>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row>
    <row r="67" spans="1:71" ht="68.45" customHeight="1" x14ac:dyDescent="0.3">
      <c r="A67" s="212"/>
      <c r="B67" s="215"/>
      <c r="C67" s="215"/>
      <c r="D67" s="215"/>
      <c r="E67" s="164"/>
      <c r="F67" s="215"/>
      <c r="G67" s="227"/>
      <c r="H67" s="227"/>
      <c r="I67" s="215"/>
      <c r="J67" s="239"/>
      <c r="K67" s="224"/>
      <c r="L67" s="233"/>
      <c r="M67" s="221"/>
      <c r="N67" s="233"/>
      <c r="O67" s="224"/>
      <c r="P67" s="233"/>
      <c r="Q67" s="236"/>
      <c r="R67" s="124"/>
      <c r="S67" s="169"/>
      <c r="T67" s="125"/>
      <c r="U67" s="126"/>
      <c r="V67" s="126"/>
      <c r="W67" s="127"/>
      <c r="X67" s="126"/>
      <c r="Y67" s="126"/>
      <c r="Z67" s="126"/>
      <c r="AA67" s="137"/>
      <c r="AB67" s="129"/>
      <c r="AC67" s="130"/>
      <c r="AD67" s="129"/>
      <c r="AE67" s="138"/>
      <c r="AF67" s="131"/>
      <c r="AG67" s="132"/>
      <c r="AH67" s="133"/>
      <c r="AI67" s="134"/>
      <c r="AJ67" s="135"/>
      <c r="AK67" s="135"/>
      <c r="AL67" s="133"/>
      <c r="AM67" s="134"/>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row>
    <row r="68" spans="1:71" ht="68.45" customHeight="1" x14ac:dyDescent="0.3">
      <c r="A68" s="212"/>
      <c r="B68" s="215"/>
      <c r="C68" s="215"/>
      <c r="D68" s="215"/>
      <c r="E68" s="164"/>
      <c r="F68" s="215"/>
      <c r="G68" s="227"/>
      <c r="H68" s="227"/>
      <c r="I68" s="215"/>
      <c r="J68" s="239"/>
      <c r="K68" s="224"/>
      <c r="L68" s="233"/>
      <c r="M68" s="221"/>
      <c r="N68" s="233"/>
      <c r="O68" s="224"/>
      <c r="P68" s="233"/>
      <c r="Q68" s="236"/>
      <c r="R68" s="124"/>
      <c r="S68" s="169"/>
      <c r="T68" s="125"/>
      <c r="U68" s="126"/>
      <c r="V68" s="126"/>
      <c r="W68" s="127"/>
      <c r="X68" s="126"/>
      <c r="Y68" s="126"/>
      <c r="Z68" s="126"/>
      <c r="AA68" s="137"/>
      <c r="AB68" s="129"/>
      <c r="AC68" s="130"/>
      <c r="AD68" s="129"/>
      <c r="AE68" s="138"/>
      <c r="AF68" s="131"/>
      <c r="AG68" s="132"/>
      <c r="AH68" s="133"/>
      <c r="AI68" s="134"/>
      <c r="AJ68" s="135"/>
      <c r="AK68" s="135"/>
      <c r="AL68" s="133"/>
      <c r="AM68" s="134"/>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row>
    <row r="69" spans="1:71" ht="68.45" customHeight="1" x14ac:dyDescent="0.3">
      <c r="A69" s="212"/>
      <c r="B69" s="215"/>
      <c r="C69" s="215"/>
      <c r="D69" s="215"/>
      <c r="E69" s="164"/>
      <c r="F69" s="215"/>
      <c r="G69" s="227"/>
      <c r="H69" s="227"/>
      <c r="I69" s="215"/>
      <c r="J69" s="239"/>
      <c r="K69" s="224"/>
      <c r="L69" s="233"/>
      <c r="M69" s="221"/>
      <c r="N69" s="233"/>
      <c r="O69" s="224"/>
      <c r="P69" s="233"/>
      <c r="Q69" s="236"/>
      <c r="R69" s="124"/>
      <c r="S69" s="169"/>
      <c r="T69" s="125"/>
      <c r="U69" s="126"/>
      <c r="V69" s="126"/>
      <c r="W69" s="127"/>
      <c r="X69" s="126"/>
      <c r="Y69" s="126"/>
      <c r="Z69" s="126"/>
      <c r="AA69" s="137"/>
      <c r="AB69" s="129"/>
      <c r="AC69" s="130"/>
      <c r="AD69" s="129"/>
      <c r="AE69" s="138"/>
      <c r="AF69" s="131"/>
      <c r="AG69" s="132"/>
      <c r="AH69" s="133"/>
      <c r="AI69" s="134"/>
      <c r="AJ69" s="135"/>
      <c r="AK69" s="135"/>
      <c r="AL69" s="133"/>
      <c r="AM69" s="134"/>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row>
    <row r="70" spans="1:71" ht="68.45" customHeight="1" x14ac:dyDescent="0.3">
      <c r="A70" s="213"/>
      <c r="B70" s="216"/>
      <c r="C70" s="216"/>
      <c r="D70" s="216"/>
      <c r="E70" s="165"/>
      <c r="F70" s="216"/>
      <c r="G70" s="228"/>
      <c r="H70" s="228"/>
      <c r="I70" s="216"/>
      <c r="J70" s="240"/>
      <c r="K70" s="225"/>
      <c r="L70" s="234"/>
      <c r="M70" s="222"/>
      <c r="N70" s="234">
        <f ca="1">IF(NOT(ISERROR(MATCH(M70,_xlfn.ANCHORARRAY(H81),0))),L83&amp;"Por favor no seleccionar los criterios de impacto",M70)</f>
        <v>0</v>
      </c>
      <c r="O70" s="225"/>
      <c r="P70" s="234"/>
      <c r="Q70" s="237"/>
      <c r="R70" s="124">
        <v>6</v>
      </c>
      <c r="S70" s="169"/>
      <c r="T70" s="125" t="str">
        <f t="shared" si="73"/>
        <v/>
      </c>
      <c r="U70" s="126"/>
      <c r="V70" s="126"/>
      <c r="W70" s="127" t="str">
        <f t="shared" si="74"/>
        <v/>
      </c>
      <c r="X70" s="126"/>
      <c r="Y70" s="126"/>
      <c r="Z70" s="126"/>
      <c r="AA70" s="128" t="str">
        <f>IFERROR(IF(AND(T63="Probabilidad",T70="Probabilidad"),(AC63-(+AC63*W70)),IF(AND(T63="Impacto",T70="Probabilidad"),(AC62-(+AC62*W70)),IF(T70="Impacto",AC63,""))),"")</f>
        <v/>
      </c>
      <c r="AB70" s="129" t="str">
        <f t="shared" ref="AB70" si="82">IFERROR(IF(AA70="","",IF(AA70&lt;=0.2,"Muy Baja",IF(AA70&lt;=0.4,"Baja",IF(AA70&lt;=0.6,"Media",IF(AA70&lt;=0.8,"Alta","Muy Alta"))))),"")</f>
        <v/>
      </c>
      <c r="AC70" s="130" t="str">
        <f t="shared" si="76"/>
        <v/>
      </c>
      <c r="AD70" s="129" t="str">
        <f t="shared" si="77"/>
        <v/>
      </c>
      <c r="AE70" s="138" t="str">
        <f>IFERROR(IF(AND(T63="Impacto",T70="Impacto"),(AE63-(+AE63*W70)),IF(AND(T63="Probabilidad",T70="Impacto"),(AE62-(+AE62*W70)),IF(T70="Probabilidad",AE63,""))),"")</f>
        <v/>
      </c>
      <c r="AF70" s="131" t="str">
        <f t="shared" si="81"/>
        <v/>
      </c>
      <c r="AG70" s="132"/>
      <c r="AH70" s="133"/>
      <c r="AI70" s="134"/>
      <c r="AJ70" s="135"/>
      <c r="AK70" s="135"/>
      <c r="AL70" s="133"/>
      <c r="AM70" s="134"/>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row>
    <row r="71" spans="1:71" ht="68.45" customHeight="1" x14ac:dyDescent="0.3">
      <c r="A71" s="211">
        <v>9</v>
      </c>
      <c r="B71" s="214" t="s">
        <v>189</v>
      </c>
      <c r="C71" s="214" t="s">
        <v>305</v>
      </c>
      <c r="D71" s="214" t="s">
        <v>116</v>
      </c>
      <c r="E71" s="163" t="s">
        <v>312</v>
      </c>
      <c r="F71" s="214" t="s">
        <v>317</v>
      </c>
      <c r="G71" s="226" t="s">
        <v>197</v>
      </c>
      <c r="H71" s="226" t="s">
        <v>338</v>
      </c>
      <c r="I71" s="214" t="s">
        <v>214</v>
      </c>
      <c r="J71" s="238">
        <v>340</v>
      </c>
      <c r="K71" s="223" t="str">
        <f>IF(J71&lt;=0,"",IF(J71&lt;=2,"Muy Baja",IF(J71&lt;=24,"Baja",IF(J71&lt;=500,"Media",IF(J71&lt;=5000,"Alta","Muy Alta")))))</f>
        <v>Media</v>
      </c>
      <c r="L71" s="232">
        <f>IF(K71="","",IF(K71="Muy Baja",0.2,IF(K71="Baja",0.4,IF(K71="Media",0.6,IF(K71="Alta",0.8,IF(K71="Muy Alta",1,))))))</f>
        <v>0.6</v>
      </c>
      <c r="M71" s="220" t="s">
        <v>136</v>
      </c>
      <c r="N71" s="232" t="str">
        <f ca="1">IF(NOT(ISERROR(MATCH(M71,'Tabla Impacto'!$B$221:$B$223,0))),'Tabla Impacto'!$F$223&amp;"Por favor no seleccionar los criterios de impacto(Afectación Económica o presupuestal y Pérdida Reputacional)",M71)</f>
        <v xml:space="preserve">     El riesgo afecta la imagen de la entidad internamente, de conocimiento general, nivel interno, de junta dircetiva y accionistas y/o de provedores</v>
      </c>
      <c r="O71" s="223" t="str">
        <f ca="1">IF(OR(N71='Tabla Impacto'!$C$11,N71='Tabla Impacto'!$D$11),"Leve",IF(OR(N71='Tabla Impacto'!$C$12,N71='Tabla Impacto'!$D$12),"Menor",IF(OR(N71='Tabla Impacto'!$C$13,N71='Tabla Impacto'!$D$13),"Moderado",IF(OR(N71='Tabla Impacto'!$C$14,N71='Tabla Impacto'!$D$14),"Mayor",IF(OR(N71='Tabla Impacto'!$C$15,N71='Tabla Impacto'!$D$15),"Catastrófico","")))))</f>
        <v>Menor</v>
      </c>
      <c r="P71" s="232">
        <f ca="1">IF(O71="","",IF(O71="Leve",0.2,IF(O71="Menor",0.4,IF(O71="Moderado",0.6,IF(O71="Mayor",0.8,IF(O71="Catastrófico",1,))))))</f>
        <v>0.4</v>
      </c>
      <c r="Q71" s="235" t="str">
        <f ca="1">IF(OR(AND(K71="Muy Baja",O71="Leve"),AND(K71="Muy Baja",O71="Menor"),AND(K71="Baja",O71="Leve")),"Bajo",IF(OR(AND(K71="Muy baja",O71="Moderado"),AND(K71="Baja",O71="Menor"),AND(K71="Baja",O71="Moderado"),AND(K71="Media",O71="Leve"),AND(K71="Media",O71="Menor"),AND(K71="Media",O71="Moderado"),AND(K71="Alta",O71="Leve"),AND(K71="Alta",O71="Menor")),"Moderado",IF(OR(AND(K71="Muy Baja",O71="Mayor"),AND(K71="Baja",O71="Mayor"),AND(K71="Media",O71="Mayor"),AND(K71="Alta",O71="Moderado"),AND(K71="Alta",O71="Mayor"),AND(K71="Muy Alta",O71="Leve"),AND(K71="Muy Alta",O71="Menor"),AND(K71="Muy Alta",O71="Moderado"),AND(K71="Muy Alta",O71="Mayor")),"Alto",IF(OR(AND(K71="Muy Baja",O71="Catastrófico"),AND(K71="Baja",O71="Catastrófico"),AND(K71="Media",O71="Catastrófico"),AND(K71="Alta",O71="Catastrófico"),AND(K71="Muy Alta",O71="Catastrófico")),"Extremo",""))))</f>
        <v>Moderado</v>
      </c>
      <c r="R71" s="124">
        <v>1</v>
      </c>
      <c r="S71" s="169" t="s">
        <v>324</v>
      </c>
      <c r="T71" s="125" t="str">
        <f t="shared" si="73"/>
        <v>Probabilidad</v>
      </c>
      <c r="U71" s="126" t="s">
        <v>13</v>
      </c>
      <c r="V71" s="126" t="s">
        <v>8</v>
      </c>
      <c r="W71" s="127" t="str">
        <f>IF(AND(U71="Preventivo",V71="Automático"),"50%",IF(AND(U71="Preventivo",V71="Manual"),"40%",IF(AND(U71="Detectivo",V71="Automático"),"40%",IF(AND(U71="Detectivo",V71="Manual"),"30%",IF(AND(U71="Correctivo",V71="Automático"),"35%",IF(AND(U71="Correctivo",V71="Manual"),"25%",""))))))</f>
        <v>40%</v>
      </c>
      <c r="X71" s="126" t="s">
        <v>18</v>
      </c>
      <c r="Y71" s="126" t="s">
        <v>21</v>
      </c>
      <c r="Z71" s="126" t="s">
        <v>111</v>
      </c>
      <c r="AA71" s="128">
        <f>IFERROR(IF(T71="Probabilidad",(L71-(+L71*W71)),IF(T71="Impacto",L71,"")),"")</f>
        <v>0.36</v>
      </c>
      <c r="AB71" s="129" t="str">
        <f>IFERROR(IF(AA71="","",IF(AA71&lt;=0.2,"Muy Baja",IF(AA71&lt;=0.4,"Baja",IF(AA71&lt;=0.6,"Media",IF(AA71&lt;=0.8,"Alta","Muy Alta"))))),"")</f>
        <v>Baja</v>
      </c>
      <c r="AC71" s="130">
        <f>+AA71</f>
        <v>0.36</v>
      </c>
      <c r="AD71" s="129" t="str">
        <f ca="1">IFERROR(IF(AE71="","",IF(AE71&lt;=0.2,"Leve",IF(AE71&lt;=0.4,"Menor",IF(AE71&lt;=0.6,"Moderado",IF(AE71&lt;=0.8,"Mayor","Catastrófico"))))),"")</f>
        <v>Menor</v>
      </c>
      <c r="AE71" s="138">
        <f ca="1">IFERROR(IF(T71="Impacto",(P71-(+P71*W71)),IF(T71="Probabilidad",P71,"")),"")</f>
        <v>0.4</v>
      </c>
      <c r="AF71" s="131" t="str">
        <f ca="1">IFERROR(IF(OR(AND(AB71="Muy Baja",AD71="Leve"),AND(AB71="Muy Baja",AD71="Menor"),AND(AB71="Baja",AD71="Leve")),"Bajo",IF(OR(AND(AB71="Muy baja",AD71="Moderado"),AND(AB71="Baja",AD71="Menor"),AND(AB71="Baja",AD71="Moderado"),AND(AB71="Media",AD71="Leve"),AND(AB71="Media",AD71="Menor"),AND(AB71="Media",AD71="Moderado"),AND(AB71="Alta",AD71="Leve"),AND(AB71="Alta",AD71="Menor")),"Moderado",IF(OR(AND(AB71="Muy Baja",AD71="Mayor"),AND(AB71="Baja",AD71="Mayor"),AND(AB71="Media",AD71="Mayor"),AND(AB71="Alta",AD71="Moderado"),AND(AB71="Alta",AD71="Mayor"),AND(AB71="Muy Alta",AD71="Leve"),AND(AB71="Muy Alta",AD71="Menor"),AND(AB71="Muy Alta",AD71="Moderado"),AND(AB71="Muy Alta",AD71="Mayor")),"Alto",IF(OR(AND(AB71="Muy Baja",AD71="Catastrófico"),AND(AB71="Baja",AD71="Catastrófico"),AND(AB71="Media",AD71="Catastrófico"),AND(AB71="Alta",AD71="Catastrófico"),AND(AB71="Muy Alta",AD71="Catastrófico")),"Extremo","")))),"")</f>
        <v>Moderado</v>
      </c>
      <c r="AG71" s="132" t="s">
        <v>30</v>
      </c>
      <c r="AH71" s="133"/>
      <c r="AI71" s="134"/>
      <c r="AJ71" s="135"/>
      <c r="AK71" s="135"/>
      <c r="AL71" s="133"/>
      <c r="AM71" s="134"/>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row>
    <row r="72" spans="1:71" ht="68.45" customHeight="1" x14ac:dyDescent="0.3">
      <c r="A72" s="212"/>
      <c r="B72" s="215"/>
      <c r="C72" s="215"/>
      <c r="D72" s="215"/>
      <c r="E72" s="164"/>
      <c r="F72" s="215"/>
      <c r="G72" s="227"/>
      <c r="H72" s="227"/>
      <c r="I72" s="215"/>
      <c r="J72" s="239"/>
      <c r="K72" s="224"/>
      <c r="L72" s="233"/>
      <c r="M72" s="221"/>
      <c r="N72" s="233">
        <f ca="1">IF(NOT(ISERROR(MATCH(M72,_xlfn.ANCHORARRAY(H83),0))),L85&amp;"Por favor no seleccionar los criterios de impacto",M72)</f>
        <v>0</v>
      </c>
      <c r="O72" s="224"/>
      <c r="P72" s="233"/>
      <c r="Q72" s="236"/>
      <c r="R72" s="124">
        <v>2</v>
      </c>
      <c r="S72" s="169" t="s">
        <v>340</v>
      </c>
      <c r="T72" s="125" t="str">
        <f t="shared" si="73"/>
        <v>Probabilidad</v>
      </c>
      <c r="U72" s="126" t="s">
        <v>13</v>
      </c>
      <c r="V72" s="126" t="s">
        <v>8</v>
      </c>
      <c r="W72" s="127" t="str">
        <f t="shared" ref="W72:W75" si="83">IF(AND(U72="Preventivo",V72="Automático"),"50%",IF(AND(U72="Preventivo",V72="Manual"),"40%",IF(AND(U72="Detectivo",V72="Automático"),"40%",IF(AND(U72="Detectivo",V72="Manual"),"30%",IF(AND(U72="Correctivo",V72="Automático"),"35%",IF(AND(U72="Correctivo",V72="Manual"),"25%",""))))))</f>
        <v>40%</v>
      </c>
      <c r="X72" s="126" t="s">
        <v>18</v>
      </c>
      <c r="Y72" s="126" t="s">
        <v>21</v>
      </c>
      <c r="Z72" s="126" t="s">
        <v>111</v>
      </c>
      <c r="AA72" s="128">
        <f>IFERROR(IF(AND(T71="Probabilidad",T72="Probabilidad"),(AC71-(+AC71*W72)),IF(T72="Probabilidad",(L71-(+L71*W72)),IF(T72="Impacto",AC71,""))),"")</f>
        <v>0.216</v>
      </c>
      <c r="AB72" s="129" t="str">
        <f t="shared" ref="AB72:AB74" si="84">IFERROR(IF(AA72="","",IF(AA72&lt;=0.2,"Muy Baja",IF(AA72&lt;=0.4,"Baja",IF(AA72&lt;=0.6,"Media",IF(AA72&lt;=0.8,"Alta","Muy Alta"))))),"")</f>
        <v>Baja</v>
      </c>
      <c r="AC72" s="130">
        <f t="shared" ref="AC72:AC76" si="85">+AA72</f>
        <v>0.216</v>
      </c>
      <c r="AD72" s="129" t="str">
        <f t="shared" ref="AD72:AD76" ca="1" si="86">IFERROR(IF(AE72="","",IF(AE72&lt;=0.2,"Leve",IF(AE72&lt;=0.4,"Menor",IF(AE72&lt;=0.6,"Moderado",IF(AE72&lt;=0.8,"Mayor","Catastrófico"))))),"")</f>
        <v>Menor</v>
      </c>
      <c r="AE72" s="138">
        <f ca="1">IFERROR(IF(AND(T71="Impacto",T72="Impacto"),(AE71-(+AE71*W72)),IF(T72="Impacto",(P71-(+P71*W72)),IF(T72="Probabilidad",AE71,""))),"")</f>
        <v>0.4</v>
      </c>
      <c r="AF72" s="131" t="str">
        <f t="shared" ref="AF72:AF73" ca="1" si="87">IFERROR(IF(OR(AND(AB72="Muy Baja",AD72="Leve"),AND(AB72="Muy Baja",AD72="Menor"),AND(AB72="Baja",AD72="Leve")),"Bajo",IF(OR(AND(AB72="Muy baja",AD72="Moderado"),AND(AB72="Baja",AD72="Menor"),AND(AB72="Baja",AD72="Moderado"),AND(AB72="Media",AD72="Leve"),AND(AB72="Media",AD72="Menor"),AND(AB72="Media",AD72="Moderado"),AND(AB72="Alta",AD72="Leve"),AND(AB72="Alta",AD72="Menor")),"Moderado",IF(OR(AND(AB72="Muy Baja",AD72="Mayor"),AND(AB72="Baja",AD72="Mayor"),AND(AB72="Media",AD72="Mayor"),AND(AB72="Alta",AD72="Moderado"),AND(AB72="Alta",AD72="Mayor"),AND(AB72="Muy Alta",AD72="Leve"),AND(AB72="Muy Alta",AD72="Menor"),AND(AB72="Muy Alta",AD72="Moderado"),AND(AB72="Muy Alta",AD72="Mayor")),"Alto",IF(OR(AND(AB72="Muy Baja",AD72="Catastrófico"),AND(AB72="Baja",AD72="Catastrófico"),AND(AB72="Media",AD72="Catastrófico"),AND(AB72="Alta",AD72="Catastrófico"),AND(AB72="Muy Alta",AD72="Catastrófico")),"Extremo","")))),"")</f>
        <v>Moderado</v>
      </c>
      <c r="AG72" s="132" t="s">
        <v>30</v>
      </c>
      <c r="AH72" s="133"/>
      <c r="AI72" s="134"/>
      <c r="AJ72" s="135"/>
      <c r="AK72" s="135"/>
      <c r="AL72" s="133"/>
      <c r="AM72" s="134"/>
    </row>
    <row r="73" spans="1:71" ht="68.45" customHeight="1" x14ac:dyDescent="0.3">
      <c r="A73" s="212"/>
      <c r="B73" s="215"/>
      <c r="C73" s="215"/>
      <c r="D73" s="215"/>
      <c r="E73" s="164"/>
      <c r="F73" s="215"/>
      <c r="G73" s="227"/>
      <c r="H73" s="227"/>
      <c r="I73" s="215"/>
      <c r="J73" s="239"/>
      <c r="K73" s="224"/>
      <c r="L73" s="233"/>
      <c r="M73" s="221"/>
      <c r="N73" s="233">
        <f ca="1">IF(NOT(ISERROR(MATCH(M73,_xlfn.ANCHORARRAY(H84),0))),L86&amp;"Por favor no seleccionar los criterios de impacto",M73)</f>
        <v>0</v>
      </c>
      <c r="O73" s="224"/>
      <c r="P73" s="233"/>
      <c r="Q73" s="236"/>
      <c r="R73" s="124">
        <v>3</v>
      </c>
      <c r="S73" s="169" t="s">
        <v>341</v>
      </c>
      <c r="T73" s="125" t="str">
        <f t="shared" si="73"/>
        <v>Probabilidad</v>
      </c>
      <c r="U73" s="126" t="s">
        <v>13</v>
      </c>
      <c r="V73" s="126" t="s">
        <v>8</v>
      </c>
      <c r="W73" s="127" t="str">
        <f t="shared" si="83"/>
        <v>40%</v>
      </c>
      <c r="X73" s="126" t="s">
        <v>19</v>
      </c>
      <c r="Y73" s="126" t="s">
        <v>21</v>
      </c>
      <c r="Z73" s="126" t="s">
        <v>111</v>
      </c>
      <c r="AA73" s="128">
        <f>IFERROR(IF(AND(T72="Probabilidad",T73="Probabilidad"),(AC72-(+AC72*W73)),IF(AND(T72="Impacto",T73="Probabilidad"),(AC71-(+AC71*W73)),IF(T73="Impacto",AC72,""))),"")</f>
        <v>0.12959999999999999</v>
      </c>
      <c r="AB73" s="129" t="str">
        <f t="shared" si="84"/>
        <v>Muy Baja</v>
      </c>
      <c r="AC73" s="130">
        <f t="shared" si="85"/>
        <v>0.12959999999999999</v>
      </c>
      <c r="AD73" s="129" t="str">
        <f t="shared" ca="1" si="86"/>
        <v>Menor</v>
      </c>
      <c r="AE73" s="138">
        <f ca="1">IFERROR(IF(AND(T72="Impacto",T73="Impacto"),(AE72-(+AE72*W73)),IF(AND(T72="Probabilidad",T73="Impacto"),(AE71-(+AE71*W73)),IF(T73="Probabilidad",AE72,""))),"")</f>
        <v>0.4</v>
      </c>
      <c r="AF73" s="131" t="str">
        <f t="shared" ca="1" si="87"/>
        <v>Bajo</v>
      </c>
      <c r="AG73" s="132" t="s">
        <v>30</v>
      </c>
      <c r="AH73" s="133"/>
      <c r="AI73" s="134"/>
      <c r="AJ73" s="135"/>
      <c r="AK73" s="135"/>
      <c r="AL73" s="133"/>
      <c r="AM73" s="134"/>
    </row>
    <row r="74" spans="1:71" ht="68.45" customHeight="1" x14ac:dyDescent="0.3">
      <c r="A74" s="212"/>
      <c r="B74" s="215"/>
      <c r="C74" s="215"/>
      <c r="D74" s="215"/>
      <c r="E74" s="164"/>
      <c r="F74" s="215"/>
      <c r="G74" s="227"/>
      <c r="H74" s="227"/>
      <c r="I74" s="215"/>
      <c r="J74" s="239"/>
      <c r="K74" s="224"/>
      <c r="L74" s="233"/>
      <c r="M74" s="221"/>
      <c r="N74" s="233">
        <f ca="1">IF(NOT(ISERROR(MATCH(M74,_xlfn.ANCHORARRAY(H85),0))),L87&amp;"Por favor no seleccionar los criterios de impacto",M74)</f>
        <v>0</v>
      </c>
      <c r="O74" s="224"/>
      <c r="P74" s="233"/>
      <c r="Q74" s="236"/>
      <c r="R74" s="124">
        <v>4</v>
      </c>
      <c r="S74" s="169"/>
      <c r="T74" s="125" t="str">
        <f t="shared" si="73"/>
        <v/>
      </c>
      <c r="U74" s="126"/>
      <c r="V74" s="126"/>
      <c r="W74" s="127" t="str">
        <f t="shared" si="83"/>
        <v/>
      </c>
      <c r="X74" s="126"/>
      <c r="Y74" s="126"/>
      <c r="Z74" s="126"/>
      <c r="AA74" s="128" t="str">
        <f t="shared" ref="AA74:AA76" si="88">IFERROR(IF(AND(T73="Probabilidad",T74="Probabilidad"),(AC73-(+AC73*W74)),IF(AND(T73="Impacto",T74="Probabilidad"),(AC72-(+AC72*W74)),IF(T74="Impacto",AC73,""))),"")</f>
        <v/>
      </c>
      <c r="AB74" s="129" t="str">
        <f t="shared" si="84"/>
        <v/>
      </c>
      <c r="AC74" s="130" t="str">
        <f t="shared" si="85"/>
        <v/>
      </c>
      <c r="AD74" s="129" t="str">
        <f t="shared" si="86"/>
        <v/>
      </c>
      <c r="AE74" s="138" t="str">
        <f t="shared" ref="AE74:AE76" si="89">IFERROR(IF(AND(T73="Impacto",T74="Impacto"),(AE73-(+AE73*W74)),IF(AND(T73="Probabilidad",T74="Impacto"),(AE72-(+AE72*W74)),IF(T74="Probabilidad",AE73,""))),"")</f>
        <v/>
      </c>
      <c r="AF74" s="131" t="str">
        <f>IFERROR(IF(OR(AND(AB74="Muy Baja",AD74="Leve"),AND(AB74="Muy Baja",AD74="Menor"),AND(AB74="Baja",AD74="Leve")),"Bajo",IF(OR(AND(AB74="Muy baja",AD74="Moderado"),AND(AB74="Baja",AD74="Menor"),AND(AB74="Baja",AD74="Moderado"),AND(AB74="Media",AD74="Leve"),AND(AB74="Media",AD74="Menor"),AND(AB74="Media",AD74="Moderado"),AND(AB74="Alta",AD74="Leve"),AND(AB74="Alta",AD74="Menor")),"Moderado",IF(OR(AND(AB74="Muy Baja",AD74="Mayor"),AND(AB74="Baja",AD74="Mayor"),AND(AB74="Media",AD74="Mayor"),AND(AB74="Alta",AD74="Moderado"),AND(AB74="Alta",AD74="Mayor"),AND(AB74="Muy Alta",AD74="Leve"),AND(AB74="Muy Alta",AD74="Menor"),AND(AB74="Muy Alta",AD74="Moderado"),AND(AB74="Muy Alta",AD74="Mayor")),"Alto",IF(OR(AND(AB74="Muy Baja",AD74="Catastrófico"),AND(AB74="Baja",AD74="Catastrófico"),AND(AB74="Media",AD74="Catastrófico"),AND(AB74="Alta",AD74="Catastrófico"),AND(AB74="Muy Alta",AD74="Catastrófico")),"Extremo","")))),"")</f>
        <v/>
      </c>
      <c r="AG74" s="132"/>
      <c r="AH74" s="133"/>
      <c r="AI74" s="134"/>
      <c r="AJ74" s="135"/>
      <c r="AK74" s="135"/>
      <c r="AL74" s="133"/>
      <c r="AM74" s="134"/>
    </row>
    <row r="75" spans="1:71" ht="68.45" customHeight="1" x14ac:dyDescent="0.3">
      <c r="A75" s="212"/>
      <c r="B75" s="215"/>
      <c r="C75" s="215"/>
      <c r="D75" s="215"/>
      <c r="E75" s="164"/>
      <c r="F75" s="215"/>
      <c r="G75" s="227"/>
      <c r="H75" s="227"/>
      <c r="I75" s="215"/>
      <c r="J75" s="239"/>
      <c r="K75" s="224"/>
      <c r="L75" s="233"/>
      <c r="M75" s="221"/>
      <c r="N75" s="233">
        <f ca="1">IF(NOT(ISERROR(MATCH(M75,_xlfn.ANCHORARRAY(H86),0))),L88&amp;"Por favor no seleccionar los criterios de impacto",M75)</f>
        <v>0</v>
      </c>
      <c r="O75" s="224"/>
      <c r="P75" s="233"/>
      <c r="Q75" s="236"/>
      <c r="R75" s="124">
        <v>5</v>
      </c>
      <c r="S75" s="169"/>
      <c r="T75" s="125" t="str">
        <f t="shared" si="73"/>
        <v/>
      </c>
      <c r="U75" s="126"/>
      <c r="V75" s="126"/>
      <c r="W75" s="127" t="str">
        <f t="shared" si="83"/>
        <v/>
      </c>
      <c r="X75" s="126"/>
      <c r="Y75" s="126"/>
      <c r="Z75" s="126"/>
      <c r="AA75" s="137" t="str">
        <f t="shared" si="88"/>
        <v/>
      </c>
      <c r="AB75" s="129" t="str">
        <f>IFERROR(IF(AA75="","",IF(AA75&lt;=0.2,"Muy Baja",IF(AA75&lt;=0.4,"Baja",IF(AA75&lt;=0.6,"Media",IF(AA75&lt;=0.8,"Alta","Muy Alta"))))),"")</f>
        <v/>
      </c>
      <c r="AC75" s="130" t="str">
        <f t="shared" si="85"/>
        <v/>
      </c>
      <c r="AD75" s="129" t="str">
        <f t="shared" si="86"/>
        <v/>
      </c>
      <c r="AE75" s="138" t="str">
        <f t="shared" si="89"/>
        <v/>
      </c>
      <c r="AF75" s="131" t="str">
        <f t="shared" ref="AF75:AF76" si="90">IFERROR(IF(OR(AND(AB75="Muy Baja",AD75="Leve"),AND(AB75="Muy Baja",AD75="Menor"),AND(AB75="Baja",AD75="Leve")),"Bajo",IF(OR(AND(AB75="Muy baja",AD75="Moderado"),AND(AB75="Baja",AD75="Menor"),AND(AB75="Baja",AD75="Moderado"),AND(AB75="Media",AD75="Leve"),AND(AB75="Media",AD75="Menor"),AND(AB75="Media",AD75="Moderado"),AND(AB75="Alta",AD75="Leve"),AND(AB75="Alta",AD75="Menor")),"Moderado",IF(OR(AND(AB75="Muy Baja",AD75="Mayor"),AND(AB75="Baja",AD75="Mayor"),AND(AB75="Media",AD75="Mayor"),AND(AB75="Alta",AD75="Moderado"),AND(AB75="Alta",AD75="Mayor"),AND(AB75="Muy Alta",AD75="Leve"),AND(AB75="Muy Alta",AD75="Menor"),AND(AB75="Muy Alta",AD75="Moderado"),AND(AB75="Muy Alta",AD75="Mayor")),"Alto",IF(OR(AND(AB75="Muy Baja",AD75="Catastrófico"),AND(AB75="Baja",AD75="Catastrófico"),AND(AB75="Media",AD75="Catastrófico"),AND(AB75="Alta",AD75="Catastrófico"),AND(AB75="Muy Alta",AD75="Catastrófico")),"Extremo","")))),"")</f>
        <v/>
      </c>
      <c r="AG75" s="132"/>
      <c r="AH75" s="133"/>
      <c r="AI75" s="134"/>
      <c r="AJ75" s="135"/>
      <c r="AK75" s="135"/>
      <c r="AL75" s="133"/>
      <c r="AM75" s="134"/>
    </row>
    <row r="76" spans="1:71" ht="68.45" customHeight="1" x14ac:dyDescent="0.3">
      <c r="A76" s="213"/>
      <c r="B76" s="216"/>
      <c r="C76" s="216"/>
      <c r="D76" s="216"/>
      <c r="E76" s="165"/>
      <c r="F76" s="216"/>
      <c r="G76" s="228"/>
      <c r="H76" s="228"/>
      <c r="I76" s="216"/>
      <c r="J76" s="240"/>
      <c r="K76" s="225"/>
      <c r="L76" s="234"/>
      <c r="M76" s="222"/>
      <c r="N76" s="234">
        <f ca="1">IF(NOT(ISERROR(MATCH(M76,_xlfn.ANCHORARRAY(H87),0))),L89&amp;"Por favor no seleccionar los criterios de impacto",M76)</f>
        <v>0</v>
      </c>
      <c r="O76" s="225"/>
      <c r="P76" s="234"/>
      <c r="Q76" s="237"/>
      <c r="R76" s="124">
        <v>6</v>
      </c>
      <c r="S76" s="169"/>
      <c r="T76" s="125" t="str">
        <f t="shared" si="73"/>
        <v/>
      </c>
      <c r="U76" s="126"/>
      <c r="V76" s="126"/>
      <c r="W76" s="127" t="str">
        <f t="shared" ref="W76" si="91">IF(AND(U76="Preventivo",V76="Automático"),"50%",IF(AND(U76="Preventivo",V76="Manual"),"40%",IF(AND(U76="Detectivo",V76="Automático"),"40%",IF(AND(U76="Detectivo",V76="Manual"),"30%",IF(AND(U76="Correctivo",V76="Automático"),"35%",IF(AND(U76="Correctivo",V76="Manual"),"25%",""))))))</f>
        <v/>
      </c>
      <c r="X76" s="126"/>
      <c r="Y76" s="126"/>
      <c r="Z76" s="126"/>
      <c r="AA76" s="128" t="str">
        <f t="shared" si="88"/>
        <v/>
      </c>
      <c r="AB76" s="129" t="str">
        <f t="shared" ref="AB76" si="92">IFERROR(IF(AA76="","",IF(AA76&lt;=0.2,"Muy Baja",IF(AA76&lt;=0.4,"Baja",IF(AA76&lt;=0.6,"Media",IF(AA76&lt;=0.8,"Alta","Muy Alta"))))),"")</f>
        <v/>
      </c>
      <c r="AC76" s="130" t="str">
        <f t="shared" si="85"/>
        <v/>
      </c>
      <c r="AD76" s="129" t="str">
        <f t="shared" si="86"/>
        <v/>
      </c>
      <c r="AE76" s="138" t="str">
        <f t="shared" si="89"/>
        <v/>
      </c>
      <c r="AF76" s="131" t="str">
        <f t="shared" si="90"/>
        <v/>
      </c>
      <c r="AG76" s="132"/>
      <c r="AH76" s="133"/>
      <c r="AI76" s="134"/>
      <c r="AJ76" s="135"/>
      <c r="AK76" s="135"/>
      <c r="AL76" s="133"/>
      <c r="AM76" s="134"/>
    </row>
    <row r="77" spans="1:71" ht="49.7" customHeight="1" x14ac:dyDescent="0.3">
      <c r="A77" s="6"/>
      <c r="B77" s="267"/>
      <c r="C77" s="267"/>
      <c r="D77" s="267"/>
      <c r="E77" s="267"/>
      <c r="F77" s="267"/>
      <c r="G77" s="267"/>
      <c r="H77" s="267"/>
      <c r="I77" s="267"/>
      <c r="J77" s="267"/>
      <c r="K77" s="267"/>
      <c r="L77" s="267"/>
      <c r="M77" s="267"/>
      <c r="N77" s="267"/>
      <c r="O77" s="267"/>
      <c r="P77" s="267"/>
      <c r="Q77" s="267"/>
      <c r="R77" s="267"/>
      <c r="S77" s="267"/>
      <c r="T77" s="267"/>
      <c r="U77" s="267"/>
      <c r="V77" s="267"/>
      <c r="W77" s="267"/>
      <c r="X77" s="267"/>
      <c r="Y77" s="267"/>
      <c r="Z77" s="267"/>
      <c r="AA77" s="267"/>
      <c r="AB77" s="267"/>
      <c r="AC77" s="267"/>
      <c r="AD77" s="267"/>
      <c r="AE77" s="267"/>
      <c r="AF77" s="267"/>
      <c r="AG77" s="267"/>
      <c r="AH77" s="267"/>
      <c r="AI77" s="267"/>
      <c r="AJ77" s="267"/>
      <c r="AK77" s="267"/>
      <c r="AL77" s="267"/>
      <c r="AM77" s="268"/>
    </row>
    <row r="79" spans="1:71" x14ac:dyDescent="0.3">
      <c r="A79" s="1"/>
      <c r="B79" s="23"/>
      <c r="C79" s="23"/>
      <c r="D79" s="1"/>
      <c r="E79" s="1"/>
      <c r="G79" s="1"/>
      <c r="H79" s="1"/>
      <c r="I79" s="1"/>
    </row>
  </sheetData>
  <dataConsolidate/>
  <mergeCells count="209">
    <mergeCell ref="D4:Q4"/>
    <mergeCell ref="I11:I16"/>
    <mergeCell ref="J11:J16"/>
    <mergeCell ref="K11:K16"/>
    <mergeCell ref="A11:A16"/>
    <mergeCell ref="B11:B16"/>
    <mergeCell ref="F11:F16"/>
    <mergeCell ref="H11:H16"/>
    <mergeCell ref="Q11:Q16"/>
    <mergeCell ref="L11:L16"/>
    <mergeCell ref="M11:M16"/>
    <mergeCell ref="N11:N16"/>
    <mergeCell ref="O11:O16"/>
    <mergeCell ref="P11:P16"/>
    <mergeCell ref="G11:G16"/>
    <mergeCell ref="D11:D16"/>
    <mergeCell ref="D5:Q5"/>
    <mergeCell ref="C11:C16"/>
    <mergeCell ref="A4:C4"/>
    <mergeCell ref="A5:C5"/>
    <mergeCell ref="A6:C6"/>
    <mergeCell ref="A7:C7"/>
    <mergeCell ref="AA9:AA10"/>
    <mergeCell ref="S9:S10"/>
    <mergeCell ref="AD9:AD10"/>
    <mergeCell ref="AB9:AB10"/>
    <mergeCell ref="AC9:AC10"/>
    <mergeCell ref="J9:J10"/>
    <mergeCell ref="K9:K10"/>
    <mergeCell ref="L9:L10"/>
    <mergeCell ref="O9:O10"/>
    <mergeCell ref="P9:P10"/>
    <mergeCell ref="Q9:Q10"/>
    <mergeCell ref="M9:M10"/>
    <mergeCell ref="N9:N10"/>
    <mergeCell ref="T9:T10"/>
    <mergeCell ref="U9:Z9"/>
    <mergeCell ref="N17:N22"/>
    <mergeCell ref="O17:O22"/>
    <mergeCell ref="P17:P22"/>
    <mergeCell ref="Q17:Q22"/>
    <mergeCell ref="A23:A28"/>
    <mergeCell ref="B23:B28"/>
    <mergeCell ref="F23:F28"/>
    <mergeCell ref="H23:H28"/>
    <mergeCell ref="I23:I28"/>
    <mergeCell ref="J23:J28"/>
    <mergeCell ref="K23:K28"/>
    <mergeCell ref="L23:L28"/>
    <mergeCell ref="M23:M28"/>
    <mergeCell ref="N23:N28"/>
    <mergeCell ref="O23:O28"/>
    <mergeCell ref="I17:I22"/>
    <mergeCell ref="J17:J22"/>
    <mergeCell ref="K17:K22"/>
    <mergeCell ref="L17:L22"/>
    <mergeCell ref="M17:M22"/>
    <mergeCell ref="A17:A22"/>
    <mergeCell ref="B17:B22"/>
    <mergeCell ref="F17:F22"/>
    <mergeCell ref="H17:H22"/>
    <mergeCell ref="A29:A34"/>
    <mergeCell ref="B29:B34"/>
    <mergeCell ref="F29:F34"/>
    <mergeCell ref="H29:H34"/>
    <mergeCell ref="I29:I34"/>
    <mergeCell ref="J29:J34"/>
    <mergeCell ref="K29:K34"/>
    <mergeCell ref="L29:L34"/>
    <mergeCell ref="M29:M34"/>
    <mergeCell ref="B77:AM77"/>
    <mergeCell ref="P59:P70"/>
    <mergeCell ref="Q59:Q70"/>
    <mergeCell ref="N71:N76"/>
    <mergeCell ref="O71:O76"/>
    <mergeCell ref="P71:P76"/>
    <mergeCell ref="Q71:Q76"/>
    <mergeCell ref="M59:M70"/>
    <mergeCell ref="N59:N70"/>
    <mergeCell ref="O59:O70"/>
    <mergeCell ref="D59:D70"/>
    <mergeCell ref="J59:J70"/>
    <mergeCell ref="K59:K70"/>
    <mergeCell ref="L59:L70"/>
    <mergeCell ref="A71:A76"/>
    <mergeCell ref="B71:B76"/>
    <mergeCell ref="F71:F76"/>
    <mergeCell ref="H71:H76"/>
    <mergeCell ref="I71:I76"/>
    <mergeCell ref="J71:J76"/>
    <mergeCell ref="K71:K76"/>
    <mergeCell ref="L71:L76"/>
    <mergeCell ref="M71:M76"/>
    <mergeCell ref="D71:D76"/>
    <mergeCell ref="G71:G76"/>
    <mergeCell ref="A59:A70"/>
    <mergeCell ref="B59:B70"/>
    <mergeCell ref="F59:F70"/>
    <mergeCell ref="H59:H70"/>
    <mergeCell ref="I59:I70"/>
    <mergeCell ref="R5:T5"/>
    <mergeCell ref="B9:B10"/>
    <mergeCell ref="E9:E10"/>
    <mergeCell ref="G9:G10"/>
    <mergeCell ref="D9:D10"/>
    <mergeCell ref="G17:G22"/>
    <mergeCell ref="G23:G28"/>
    <mergeCell ref="G29:G34"/>
    <mergeCell ref="G41:G46"/>
    <mergeCell ref="G53:G58"/>
    <mergeCell ref="G47:G52"/>
    <mergeCell ref="G59:G70"/>
    <mergeCell ref="D17:D22"/>
    <mergeCell ref="D23:D28"/>
    <mergeCell ref="D29:D34"/>
    <mergeCell ref="D41:D46"/>
    <mergeCell ref="D53:D58"/>
    <mergeCell ref="N41:N46"/>
    <mergeCell ref="O41:O46"/>
    <mergeCell ref="R4:T4"/>
    <mergeCell ref="A1:AM2"/>
    <mergeCell ref="A8:J8"/>
    <mergeCell ref="K8:Q8"/>
    <mergeCell ref="R8:Z8"/>
    <mergeCell ref="AA8:AG8"/>
    <mergeCell ref="AH8:AM8"/>
    <mergeCell ref="AH9:AH10"/>
    <mergeCell ref="AM9:AM10"/>
    <mergeCell ref="AL9:AL10"/>
    <mergeCell ref="AK9:AK10"/>
    <mergeCell ref="AJ9:AJ10"/>
    <mergeCell ref="AI9:AI10"/>
    <mergeCell ref="A9:A10"/>
    <mergeCell ref="I9:I10"/>
    <mergeCell ref="H9:H10"/>
    <mergeCell ref="F9:F10"/>
    <mergeCell ref="C9:C10"/>
    <mergeCell ref="AG9:AG10"/>
    <mergeCell ref="D6:Q6"/>
    <mergeCell ref="D7:Q7"/>
    <mergeCell ref="R9:R10"/>
    <mergeCell ref="AF9:AF10"/>
    <mergeCell ref="AE9:AE10"/>
    <mergeCell ref="C71:C76"/>
    <mergeCell ref="Q53:Q58"/>
    <mergeCell ref="I47:I52"/>
    <mergeCell ref="J47:J52"/>
    <mergeCell ref="K47:K52"/>
    <mergeCell ref="L47:L52"/>
    <mergeCell ref="M47:M52"/>
    <mergeCell ref="I53:I58"/>
    <mergeCell ref="J53:J58"/>
    <mergeCell ref="K53:K58"/>
    <mergeCell ref="L53:L58"/>
    <mergeCell ref="O47:O52"/>
    <mergeCell ref="P47:P52"/>
    <mergeCell ref="Q47:Q52"/>
    <mergeCell ref="D47:D52"/>
    <mergeCell ref="P53:P58"/>
    <mergeCell ref="F47:F52"/>
    <mergeCell ref="H47:H52"/>
    <mergeCell ref="P35:P40"/>
    <mergeCell ref="Q35:Q40"/>
    <mergeCell ref="C17:C22"/>
    <mergeCell ref="C23:C28"/>
    <mergeCell ref="C29:C34"/>
    <mergeCell ref="C41:C46"/>
    <mergeCell ref="C53:C58"/>
    <mergeCell ref="C47:C52"/>
    <mergeCell ref="C59:C70"/>
    <mergeCell ref="Q41:Q46"/>
    <mergeCell ref="P41:P46"/>
    <mergeCell ref="F41:F46"/>
    <mergeCell ref="H41:H46"/>
    <mergeCell ref="I41:I46"/>
    <mergeCell ref="J41:J46"/>
    <mergeCell ref="K41:K46"/>
    <mergeCell ref="P23:P28"/>
    <mergeCell ref="Q23:Q28"/>
    <mergeCell ref="N29:N34"/>
    <mergeCell ref="O29:O34"/>
    <mergeCell ref="P29:P34"/>
    <mergeCell ref="Q29:Q34"/>
    <mergeCell ref="L41:L46"/>
    <mergeCell ref="M41:M46"/>
    <mergeCell ref="A53:A58"/>
    <mergeCell ref="B53:B58"/>
    <mergeCell ref="F53:F58"/>
    <mergeCell ref="H53:H58"/>
    <mergeCell ref="M53:M58"/>
    <mergeCell ref="O53:O58"/>
    <mergeCell ref="B35:B40"/>
    <mergeCell ref="C35:C40"/>
    <mergeCell ref="D35:D40"/>
    <mergeCell ref="F35:F40"/>
    <mergeCell ref="G35:G40"/>
    <mergeCell ref="H35:H40"/>
    <mergeCell ref="I35:I40"/>
    <mergeCell ref="J35:J40"/>
    <mergeCell ref="K35:K40"/>
    <mergeCell ref="L35:L40"/>
    <mergeCell ref="M35:M40"/>
    <mergeCell ref="N35:N40"/>
    <mergeCell ref="O35:O40"/>
    <mergeCell ref="A47:A52"/>
    <mergeCell ref="B47:B52"/>
    <mergeCell ref="A41:A46"/>
    <mergeCell ref="B41:B46"/>
    <mergeCell ref="A35:A40"/>
  </mergeCells>
  <conditionalFormatting sqref="K11 K17">
    <cfRule type="cellIs" dxfId="279" priority="551" operator="equal">
      <formula>"Muy Alta"</formula>
    </cfRule>
    <cfRule type="cellIs" dxfId="278" priority="552" operator="equal">
      <formula>"Alta"</formula>
    </cfRule>
    <cfRule type="cellIs" dxfId="277" priority="553" operator="equal">
      <formula>"Media"</formula>
    </cfRule>
    <cfRule type="cellIs" dxfId="276" priority="554" operator="equal">
      <formula>"Baja"</formula>
    </cfRule>
    <cfRule type="cellIs" dxfId="275" priority="555" operator="equal">
      <formula>"Muy Baja"</formula>
    </cfRule>
  </conditionalFormatting>
  <conditionalFormatting sqref="O11 O17 O47">
    <cfRule type="cellIs" dxfId="274" priority="546" operator="equal">
      <formula>"Catastrófico"</formula>
    </cfRule>
    <cfRule type="cellIs" dxfId="273" priority="547" operator="equal">
      <formula>"Mayor"</formula>
    </cfRule>
    <cfRule type="cellIs" dxfId="272" priority="548" operator="equal">
      <formula>"Moderado"</formula>
    </cfRule>
    <cfRule type="cellIs" dxfId="271" priority="549" operator="equal">
      <formula>"Menor"</formula>
    </cfRule>
    <cfRule type="cellIs" dxfId="270" priority="550" operator="equal">
      <formula>"Leve"</formula>
    </cfRule>
  </conditionalFormatting>
  <conditionalFormatting sqref="Q11">
    <cfRule type="cellIs" dxfId="269" priority="542" operator="equal">
      <formula>"Extremo"</formula>
    </cfRule>
    <cfRule type="cellIs" dxfId="268" priority="543" operator="equal">
      <formula>"Alto"</formula>
    </cfRule>
    <cfRule type="cellIs" dxfId="267" priority="544" operator="equal">
      <formula>"Moderado"</formula>
    </cfRule>
    <cfRule type="cellIs" dxfId="266" priority="545" operator="equal">
      <formula>"Bajo"</formula>
    </cfRule>
  </conditionalFormatting>
  <conditionalFormatting sqref="AB11:AB16">
    <cfRule type="cellIs" dxfId="265" priority="537" operator="equal">
      <formula>"Muy Alta"</formula>
    </cfRule>
    <cfRule type="cellIs" dxfId="264" priority="538" operator="equal">
      <formula>"Alta"</formula>
    </cfRule>
    <cfRule type="cellIs" dxfId="263" priority="539" operator="equal">
      <formula>"Media"</formula>
    </cfRule>
    <cfRule type="cellIs" dxfId="262" priority="540" operator="equal">
      <formula>"Baja"</formula>
    </cfRule>
    <cfRule type="cellIs" dxfId="261" priority="541" operator="equal">
      <formula>"Muy Baja"</formula>
    </cfRule>
  </conditionalFormatting>
  <conditionalFormatting sqref="AD11:AD16">
    <cfRule type="cellIs" dxfId="260" priority="532" operator="equal">
      <formula>"Catastrófico"</formula>
    </cfRule>
    <cfRule type="cellIs" dxfId="259" priority="533" operator="equal">
      <formula>"Mayor"</formula>
    </cfRule>
    <cfRule type="cellIs" dxfId="258" priority="534" operator="equal">
      <formula>"Moderado"</formula>
    </cfRule>
    <cfRule type="cellIs" dxfId="257" priority="535" operator="equal">
      <formula>"Menor"</formula>
    </cfRule>
    <cfRule type="cellIs" dxfId="256" priority="536" operator="equal">
      <formula>"Leve"</formula>
    </cfRule>
  </conditionalFormatting>
  <conditionalFormatting sqref="AF11:AF16">
    <cfRule type="cellIs" dxfId="255" priority="528" operator="equal">
      <formula>"Extremo"</formula>
    </cfRule>
    <cfRule type="cellIs" dxfId="254" priority="529" operator="equal">
      <formula>"Alto"</formula>
    </cfRule>
    <cfRule type="cellIs" dxfId="253" priority="530" operator="equal">
      <formula>"Moderado"</formula>
    </cfRule>
    <cfRule type="cellIs" dxfId="252" priority="531" operator="equal">
      <formula>"Bajo"</formula>
    </cfRule>
  </conditionalFormatting>
  <conditionalFormatting sqref="Q17">
    <cfRule type="cellIs" dxfId="251" priority="472" operator="equal">
      <formula>"Extremo"</formula>
    </cfRule>
    <cfRule type="cellIs" dxfId="250" priority="473" operator="equal">
      <formula>"Alto"</formula>
    </cfRule>
    <cfRule type="cellIs" dxfId="249" priority="474" operator="equal">
      <formula>"Moderado"</formula>
    </cfRule>
    <cfRule type="cellIs" dxfId="248" priority="475" operator="equal">
      <formula>"Bajo"</formula>
    </cfRule>
  </conditionalFormatting>
  <conditionalFormatting sqref="AB17:AB22">
    <cfRule type="cellIs" dxfId="247" priority="467" operator="equal">
      <formula>"Muy Alta"</formula>
    </cfRule>
    <cfRule type="cellIs" dxfId="246" priority="468" operator="equal">
      <formula>"Alta"</formula>
    </cfRule>
    <cfRule type="cellIs" dxfId="245" priority="469" operator="equal">
      <formula>"Media"</formula>
    </cfRule>
    <cfRule type="cellIs" dxfId="244" priority="470" operator="equal">
      <formula>"Baja"</formula>
    </cfRule>
    <cfRule type="cellIs" dxfId="243" priority="471" operator="equal">
      <formula>"Muy Baja"</formula>
    </cfRule>
  </conditionalFormatting>
  <conditionalFormatting sqref="AD17:AD22">
    <cfRule type="cellIs" dxfId="242" priority="462" operator="equal">
      <formula>"Catastrófico"</formula>
    </cfRule>
    <cfRule type="cellIs" dxfId="241" priority="463" operator="equal">
      <formula>"Mayor"</formula>
    </cfRule>
    <cfRule type="cellIs" dxfId="240" priority="464" operator="equal">
      <formula>"Moderado"</formula>
    </cfRule>
    <cfRule type="cellIs" dxfId="239" priority="465" operator="equal">
      <formula>"Menor"</formula>
    </cfRule>
    <cfRule type="cellIs" dxfId="238" priority="466" operator="equal">
      <formula>"Leve"</formula>
    </cfRule>
  </conditionalFormatting>
  <conditionalFormatting sqref="AF17:AF22">
    <cfRule type="cellIs" dxfId="237" priority="458" operator="equal">
      <formula>"Extremo"</formula>
    </cfRule>
    <cfRule type="cellIs" dxfId="236" priority="459" operator="equal">
      <formula>"Alto"</formula>
    </cfRule>
    <cfRule type="cellIs" dxfId="235" priority="460" operator="equal">
      <formula>"Moderado"</formula>
    </cfRule>
    <cfRule type="cellIs" dxfId="234" priority="461" operator="equal">
      <formula>"Bajo"</formula>
    </cfRule>
  </conditionalFormatting>
  <conditionalFormatting sqref="K47">
    <cfRule type="cellIs" dxfId="233" priority="313" operator="equal">
      <formula>"Muy Alta"</formula>
    </cfRule>
    <cfRule type="cellIs" dxfId="232" priority="314" operator="equal">
      <formula>"Alta"</formula>
    </cfRule>
    <cfRule type="cellIs" dxfId="231" priority="315" operator="equal">
      <formula>"Media"</formula>
    </cfRule>
    <cfRule type="cellIs" dxfId="230" priority="316" operator="equal">
      <formula>"Baja"</formula>
    </cfRule>
    <cfRule type="cellIs" dxfId="229" priority="317" operator="equal">
      <formula>"Muy Baja"</formula>
    </cfRule>
  </conditionalFormatting>
  <conditionalFormatting sqref="Q47">
    <cfRule type="cellIs" dxfId="228" priority="304" operator="equal">
      <formula>"Extremo"</formula>
    </cfRule>
    <cfRule type="cellIs" dxfId="227" priority="305" operator="equal">
      <formula>"Alto"</formula>
    </cfRule>
    <cfRule type="cellIs" dxfId="226" priority="306" operator="equal">
      <formula>"Moderado"</formula>
    </cfRule>
    <cfRule type="cellIs" dxfId="225" priority="307" operator="equal">
      <formula>"Bajo"</formula>
    </cfRule>
  </conditionalFormatting>
  <conditionalFormatting sqref="AB47:AB52">
    <cfRule type="cellIs" dxfId="224" priority="299" operator="equal">
      <formula>"Muy Alta"</formula>
    </cfRule>
    <cfRule type="cellIs" dxfId="223" priority="300" operator="equal">
      <formula>"Alta"</formula>
    </cfRule>
    <cfRule type="cellIs" dxfId="222" priority="301" operator="equal">
      <formula>"Media"</formula>
    </cfRule>
    <cfRule type="cellIs" dxfId="221" priority="302" operator="equal">
      <formula>"Baja"</formula>
    </cfRule>
    <cfRule type="cellIs" dxfId="220" priority="303" operator="equal">
      <formula>"Muy Baja"</formula>
    </cfRule>
  </conditionalFormatting>
  <conditionalFormatting sqref="AD47:AD52">
    <cfRule type="cellIs" dxfId="219" priority="294" operator="equal">
      <formula>"Catastrófico"</formula>
    </cfRule>
    <cfRule type="cellIs" dxfId="218" priority="295" operator="equal">
      <formula>"Mayor"</formula>
    </cfRule>
    <cfRule type="cellIs" dxfId="217" priority="296" operator="equal">
      <formula>"Moderado"</formula>
    </cfRule>
    <cfRule type="cellIs" dxfId="216" priority="297" operator="equal">
      <formula>"Menor"</formula>
    </cfRule>
    <cfRule type="cellIs" dxfId="215" priority="298" operator="equal">
      <formula>"Leve"</formula>
    </cfRule>
  </conditionalFormatting>
  <conditionalFormatting sqref="AF47:AF52">
    <cfRule type="cellIs" dxfId="214" priority="290" operator="equal">
      <formula>"Extremo"</formula>
    </cfRule>
    <cfRule type="cellIs" dxfId="213" priority="291" operator="equal">
      <formula>"Alto"</formula>
    </cfRule>
    <cfRule type="cellIs" dxfId="212" priority="292" operator="equal">
      <formula>"Moderado"</formula>
    </cfRule>
    <cfRule type="cellIs" dxfId="211" priority="293" operator="equal">
      <formula>"Bajo"</formula>
    </cfRule>
  </conditionalFormatting>
  <conditionalFormatting sqref="Q59">
    <cfRule type="cellIs" dxfId="210" priority="219" operator="equal">
      <formula>"Extremo"</formula>
    </cfRule>
    <cfRule type="cellIs" dxfId="209" priority="220" operator="equal">
      <formula>"Alto"</formula>
    </cfRule>
    <cfRule type="cellIs" dxfId="208" priority="221" operator="equal">
      <formula>"Moderado"</formula>
    </cfRule>
    <cfRule type="cellIs" dxfId="207" priority="222" operator="equal">
      <formula>"Bajo"</formula>
    </cfRule>
  </conditionalFormatting>
  <conditionalFormatting sqref="AB59:AB70">
    <cfRule type="cellIs" dxfId="206" priority="214" operator="equal">
      <formula>"Muy Alta"</formula>
    </cfRule>
    <cfRule type="cellIs" dxfId="205" priority="215" operator="equal">
      <formula>"Alta"</formula>
    </cfRule>
    <cfRule type="cellIs" dxfId="204" priority="216" operator="equal">
      <formula>"Media"</formula>
    </cfRule>
    <cfRule type="cellIs" dxfId="203" priority="217" operator="equal">
      <formula>"Baja"</formula>
    </cfRule>
    <cfRule type="cellIs" dxfId="202" priority="218" operator="equal">
      <formula>"Muy Baja"</formula>
    </cfRule>
  </conditionalFormatting>
  <conditionalFormatting sqref="AD59:AD70">
    <cfRule type="cellIs" dxfId="201" priority="209" operator="equal">
      <formula>"Catastrófico"</formula>
    </cfRule>
    <cfRule type="cellIs" dxfId="200" priority="210" operator="equal">
      <formula>"Mayor"</formula>
    </cfRule>
    <cfRule type="cellIs" dxfId="199" priority="211" operator="equal">
      <formula>"Moderado"</formula>
    </cfRule>
    <cfRule type="cellIs" dxfId="198" priority="212" operator="equal">
      <formula>"Menor"</formula>
    </cfRule>
    <cfRule type="cellIs" dxfId="197" priority="213" operator="equal">
      <formula>"Leve"</formula>
    </cfRule>
  </conditionalFormatting>
  <conditionalFormatting sqref="AF59:AF70">
    <cfRule type="cellIs" dxfId="196" priority="205" operator="equal">
      <formula>"Extremo"</formula>
    </cfRule>
    <cfRule type="cellIs" dxfId="195" priority="206" operator="equal">
      <formula>"Alto"</formula>
    </cfRule>
    <cfRule type="cellIs" dxfId="194" priority="207" operator="equal">
      <formula>"Moderado"</formula>
    </cfRule>
    <cfRule type="cellIs" dxfId="193" priority="208" operator="equal">
      <formula>"Bajo"</formula>
    </cfRule>
  </conditionalFormatting>
  <conditionalFormatting sqref="N11:N22 N47:N52">
    <cfRule type="containsText" dxfId="192" priority="233" operator="containsText" text="❌">
      <formula>NOT(ISERROR(SEARCH("❌",N11)))</formula>
    </cfRule>
  </conditionalFormatting>
  <conditionalFormatting sqref="O59">
    <cfRule type="cellIs" dxfId="191" priority="228" operator="equal">
      <formula>"Catastrófico"</formula>
    </cfRule>
    <cfRule type="cellIs" dxfId="190" priority="229" operator="equal">
      <formula>"Mayor"</formula>
    </cfRule>
    <cfRule type="cellIs" dxfId="189" priority="230" operator="equal">
      <formula>"Moderado"</formula>
    </cfRule>
    <cfRule type="cellIs" dxfId="188" priority="231" operator="equal">
      <formula>"Menor"</formula>
    </cfRule>
    <cfRule type="cellIs" dxfId="187" priority="232" operator="equal">
      <formula>"Leve"</formula>
    </cfRule>
  </conditionalFormatting>
  <conditionalFormatting sqref="K59">
    <cfRule type="cellIs" dxfId="186" priority="223" operator="equal">
      <formula>"Muy Alta"</formula>
    </cfRule>
    <cfRule type="cellIs" dxfId="185" priority="224" operator="equal">
      <formula>"Alta"</formula>
    </cfRule>
    <cfRule type="cellIs" dxfId="184" priority="225" operator="equal">
      <formula>"Media"</formula>
    </cfRule>
    <cfRule type="cellIs" dxfId="183" priority="226" operator="equal">
      <formula>"Baja"</formula>
    </cfRule>
    <cfRule type="cellIs" dxfId="182" priority="227" operator="equal">
      <formula>"Muy Baja"</formula>
    </cfRule>
  </conditionalFormatting>
  <conditionalFormatting sqref="Q29">
    <cfRule type="cellIs" dxfId="181" priority="103" operator="equal">
      <formula>"Extremo"</formula>
    </cfRule>
    <cfRule type="cellIs" dxfId="180" priority="104" operator="equal">
      <formula>"Alto"</formula>
    </cfRule>
    <cfRule type="cellIs" dxfId="179" priority="105" operator="equal">
      <formula>"Moderado"</formula>
    </cfRule>
    <cfRule type="cellIs" dxfId="178" priority="106" operator="equal">
      <formula>"Bajo"</formula>
    </cfRule>
  </conditionalFormatting>
  <conditionalFormatting sqref="AB29:AB34">
    <cfRule type="cellIs" dxfId="177" priority="98" operator="equal">
      <formula>"Muy Alta"</formula>
    </cfRule>
    <cfRule type="cellIs" dxfId="176" priority="99" operator="equal">
      <formula>"Alta"</formula>
    </cfRule>
    <cfRule type="cellIs" dxfId="175" priority="100" operator="equal">
      <formula>"Media"</formula>
    </cfRule>
    <cfRule type="cellIs" dxfId="174" priority="101" operator="equal">
      <formula>"Baja"</formula>
    </cfRule>
    <cfRule type="cellIs" dxfId="173" priority="102" operator="equal">
      <formula>"Muy Baja"</formula>
    </cfRule>
  </conditionalFormatting>
  <conditionalFormatting sqref="AD29:AD34">
    <cfRule type="cellIs" dxfId="172" priority="93" operator="equal">
      <formula>"Catastrófico"</formula>
    </cfRule>
    <cfRule type="cellIs" dxfId="171" priority="94" operator="equal">
      <formula>"Mayor"</formula>
    </cfRule>
    <cfRule type="cellIs" dxfId="170" priority="95" operator="equal">
      <formula>"Moderado"</formula>
    </cfRule>
    <cfRule type="cellIs" dxfId="169" priority="96" operator="equal">
      <formula>"Menor"</formula>
    </cfRule>
    <cfRule type="cellIs" dxfId="168" priority="97" operator="equal">
      <formula>"Leve"</formula>
    </cfRule>
  </conditionalFormatting>
  <conditionalFormatting sqref="AF29:AF34">
    <cfRule type="cellIs" dxfId="167" priority="89" operator="equal">
      <formula>"Extremo"</formula>
    </cfRule>
    <cfRule type="cellIs" dxfId="166" priority="90" operator="equal">
      <formula>"Alto"</formula>
    </cfRule>
    <cfRule type="cellIs" dxfId="165" priority="91" operator="equal">
      <formula>"Moderado"</formula>
    </cfRule>
    <cfRule type="cellIs" dxfId="164" priority="92" operator="equal">
      <formula>"Bajo"</formula>
    </cfRule>
  </conditionalFormatting>
  <conditionalFormatting sqref="N59:N70">
    <cfRule type="containsText" dxfId="163" priority="204" operator="containsText" text="❌">
      <formula>NOT(ISERROR(SEARCH("❌",N59)))</formula>
    </cfRule>
  </conditionalFormatting>
  <conditionalFormatting sqref="O71">
    <cfRule type="cellIs" dxfId="162" priority="199" operator="equal">
      <formula>"Catastrófico"</formula>
    </cfRule>
    <cfRule type="cellIs" dxfId="161" priority="200" operator="equal">
      <formula>"Mayor"</formula>
    </cfRule>
    <cfRule type="cellIs" dxfId="160" priority="201" operator="equal">
      <formula>"Moderado"</formula>
    </cfRule>
    <cfRule type="cellIs" dxfId="159" priority="202" operator="equal">
      <formula>"Menor"</formula>
    </cfRule>
    <cfRule type="cellIs" dxfId="158" priority="203" operator="equal">
      <formula>"Leve"</formula>
    </cfRule>
  </conditionalFormatting>
  <conditionalFormatting sqref="K71">
    <cfRule type="cellIs" dxfId="157" priority="194" operator="equal">
      <formula>"Muy Alta"</formula>
    </cfRule>
    <cfRule type="cellIs" dxfId="156" priority="195" operator="equal">
      <formula>"Alta"</formula>
    </cfRule>
    <cfRule type="cellIs" dxfId="155" priority="196" operator="equal">
      <formula>"Media"</formula>
    </cfRule>
    <cfRule type="cellIs" dxfId="154" priority="197" operator="equal">
      <formula>"Baja"</formula>
    </cfRule>
    <cfRule type="cellIs" dxfId="153" priority="198" operator="equal">
      <formula>"Muy Baja"</formula>
    </cfRule>
  </conditionalFormatting>
  <conditionalFormatting sqref="Q71">
    <cfRule type="cellIs" dxfId="152" priority="190" operator="equal">
      <formula>"Extremo"</formula>
    </cfRule>
    <cfRule type="cellIs" dxfId="151" priority="191" operator="equal">
      <formula>"Alto"</formula>
    </cfRule>
    <cfRule type="cellIs" dxfId="150" priority="192" operator="equal">
      <formula>"Moderado"</formula>
    </cfRule>
    <cfRule type="cellIs" dxfId="149" priority="193" operator="equal">
      <formula>"Bajo"</formula>
    </cfRule>
  </conditionalFormatting>
  <conditionalFormatting sqref="AB71:AB76">
    <cfRule type="cellIs" dxfId="148" priority="185" operator="equal">
      <formula>"Muy Alta"</formula>
    </cfRule>
    <cfRule type="cellIs" dxfId="147" priority="186" operator="equal">
      <formula>"Alta"</formula>
    </cfRule>
    <cfRule type="cellIs" dxfId="146" priority="187" operator="equal">
      <formula>"Media"</formula>
    </cfRule>
    <cfRule type="cellIs" dxfId="145" priority="188" operator="equal">
      <formula>"Baja"</formula>
    </cfRule>
    <cfRule type="cellIs" dxfId="144" priority="189" operator="equal">
      <formula>"Muy Baja"</formula>
    </cfRule>
  </conditionalFormatting>
  <conditionalFormatting sqref="AD71:AD76">
    <cfRule type="cellIs" dxfId="143" priority="180" operator="equal">
      <formula>"Catastrófico"</formula>
    </cfRule>
    <cfRule type="cellIs" dxfId="142" priority="181" operator="equal">
      <formula>"Mayor"</formula>
    </cfRule>
    <cfRule type="cellIs" dxfId="141" priority="182" operator="equal">
      <formula>"Moderado"</formula>
    </cfRule>
    <cfRule type="cellIs" dxfId="140" priority="183" operator="equal">
      <formula>"Menor"</formula>
    </cfRule>
    <cfRule type="cellIs" dxfId="139" priority="184" operator="equal">
      <formula>"Leve"</formula>
    </cfRule>
  </conditionalFormatting>
  <conditionalFormatting sqref="AF71:AF76">
    <cfRule type="cellIs" dxfId="138" priority="176" operator="equal">
      <formula>"Extremo"</formula>
    </cfRule>
    <cfRule type="cellIs" dxfId="137" priority="177" operator="equal">
      <formula>"Alto"</formula>
    </cfRule>
    <cfRule type="cellIs" dxfId="136" priority="178" operator="equal">
      <formula>"Moderado"</formula>
    </cfRule>
    <cfRule type="cellIs" dxfId="135" priority="179" operator="equal">
      <formula>"Bajo"</formula>
    </cfRule>
  </conditionalFormatting>
  <conditionalFormatting sqref="N71:N76">
    <cfRule type="containsText" dxfId="134" priority="175" operator="containsText" text="❌">
      <formula>NOT(ISERROR(SEARCH("❌",N71)))</formula>
    </cfRule>
  </conditionalFormatting>
  <conditionalFormatting sqref="N41:N46">
    <cfRule type="containsText" dxfId="133" priority="59" operator="containsText" text="❌">
      <formula>NOT(ISERROR(SEARCH("❌",N41)))</formula>
    </cfRule>
  </conditionalFormatting>
  <conditionalFormatting sqref="O23">
    <cfRule type="cellIs" dxfId="132" priority="141" operator="equal">
      <formula>"Catastrófico"</formula>
    </cfRule>
    <cfRule type="cellIs" dxfId="131" priority="142" operator="equal">
      <formula>"Mayor"</formula>
    </cfRule>
    <cfRule type="cellIs" dxfId="130" priority="143" operator="equal">
      <formula>"Moderado"</formula>
    </cfRule>
    <cfRule type="cellIs" dxfId="129" priority="144" operator="equal">
      <formula>"Menor"</formula>
    </cfRule>
    <cfRule type="cellIs" dxfId="128" priority="145" operator="equal">
      <formula>"Leve"</formula>
    </cfRule>
  </conditionalFormatting>
  <conditionalFormatting sqref="K23">
    <cfRule type="cellIs" dxfId="127" priority="136" operator="equal">
      <formula>"Muy Alta"</formula>
    </cfRule>
    <cfRule type="cellIs" dxfId="126" priority="137" operator="equal">
      <formula>"Alta"</formula>
    </cfRule>
    <cfRule type="cellIs" dxfId="125" priority="138" operator="equal">
      <formula>"Media"</formula>
    </cfRule>
    <cfRule type="cellIs" dxfId="124" priority="139" operator="equal">
      <formula>"Baja"</formula>
    </cfRule>
    <cfRule type="cellIs" dxfId="123" priority="140" operator="equal">
      <formula>"Muy Baja"</formula>
    </cfRule>
  </conditionalFormatting>
  <conditionalFormatting sqref="Q23">
    <cfRule type="cellIs" dxfId="122" priority="132" operator="equal">
      <formula>"Extremo"</formula>
    </cfRule>
    <cfRule type="cellIs" dxfId="121" priority="133" operator="equal">
      <formula>"Alto"</formula>
    </cfRule>
    <cfRule type="cellIs" dxfId="120" priority="134" operator="equal">
      <formula>"Moderado"</formula>
    </cfRule>
    <cfRule type="cellIs" dxfId="119" priority="135" operator="equal">
      <formula>"Bajo"</formula>
    </cfRule>
  </conditionalFormatting>
  <conditionalFormatting sqref="AB23:AB28">
    <cfRule type="cellIs" dxfId="118" priority="127" operator="equal">
      <formula>"Muy Alta"</formula>
    </cfRule>
    <cfRule type="cellIs" dxfId="117" priority="128" operator="equal">
      <formula>"Alta"</formula>
    </cfRule>
    <cfRule type="cellIs" dxfId="116" priority="129" operator="equal">
      <formula>"Media"</formula>
    </cfRule>
    <cfRule type="cellIs" dxfId="115" priority="130" operator="equal">
      <formula>"Baja"</formula>
    </cfRule>
    <cfRule type="cellIs" dxfId="114" priority="131" operator="equal">
      <formula>"Muy Baja"</formula>
    </cfRule>
  </conditionalFormatting>
  <conditionalFormatting sqref="AD23:AD28">
    <cfRule type="cellIs" dxfId="113" priority="122" operator="equal">
      <formula>"Catastrófico"</formula>
    </cfRule>
    <cfRule type="cellIs" dxfId="112" priority="123" operator="equal">
      <formula>"Mayor"</formula>
    </cfRule>
    <cfRule type="cellIs" dxfId="111" priority="124" operator="equal">
      <formula>"Moderado"</formula>
    </cfRule>
    <cfRule type="cellIs" dxfId="110" priority="125" operator="equal">
      <formula>"Menor"</formula>
    </cfRule>
    <cfRule type="cellIs" dxfId="109" priority="126" operator="equal">
      <formula>"Leve"</formula>
    </cfRule>
  </conditionalFormatting>
  <conditionalFormatting sqref="AF23:AF28">
    <cfRule type="cellIs" dxfId="108" priority="118" operator="equal">
      <formula>"Extremo"</formula>
    </cfRule>
    <cfRule type="cellIs" dxfId="107" priority="119" operator="equal">
      <formula>"Alto"</formula>
    </cfRule>
    <cfRule type="cellIs" dxfId="106" priority="120" operator="equal">
      <formula>"Moderado"</formula>
    </cfRule>
    <cfRule type="cellIs" dxfId="105" priority="121" operator="equal">
      <formula>"Bajo"</formula>
    </cfRule>
  </conditionalFormatting>
  <conditionalFormatting sqref="N23:N28">
    <cfRule type="containsText" dxfId="104" priority="117" operator="containsText" text="❌">
      <formula>NOT(ISERROR(SEARCH("❌",N23)))</formula>
    </cfRule>
  </conditionalFormatting>
  <conditionalFormatting sqref="O29">
    <cfRule type="cellIs" dxfId="103" priority="112" operator="equal">
      <formula>"Catastrófico"</formula>
    </cfRule>
    <cfRule type="cellIs" dxfId="102" priority="113" operator="equal">
      <formula>"Mayor"</formula>
    </cfRule>
    <cfRule type="cellIs" dxfId="101" priority="114" operator="equal">
      <formula>"Moderado"</formula>
    </cfRule>
    <cfRule type="cellIs" dxfId="100" priority="115" operator="equal">
      <formula>"Menor"</formula>
    </cfRule>
    <cfRule type="cellIs" dxfId="99" priority="116" operator="equal">
      <formula>"Leve"</formula>
    </cfRule>
  </conditionalFormatting>
  <conditionalFormatting sqref="K29">
    <cfRule type="cellIs" dxfId="98" priority="107" operator="equal">
      <formula>"Muy Alta"</formula>
    </cfRule>
    <cfRule type="cellIs" dxfId="97" priority="108" operator="equal">
      <formula>"Alta"</formula>
    </cfRule>
    <cfRule type="cellIs" dxfId="96" priority="109" operator="equal">
      <formula>"Media"</formula>
    </cfRule>
    <cfRule type="cellIs" dxfId="95" priority="110" operator="equal">
      <formula>"Baja"</formula>
    </cfRule>
    <cfRule type="cellIs" dxfId="94" priority="111" operator="equal">
      <formula>"Muy Baja"</formula>
    </cfRule>
  </conditionalFormatting>
  <conditionalFormatting sqref="N29:N34">
    <cfRule type="containsText" dxfId="93" priority="88" operator="containsText" text="❌">
      <formula>NOT(ISERROR(SEARCH("❌",N29)))</formula>
    </cfRule>
  </conditionalFormatting>
  <conditionalFormatting sqref="O41">
    <cfRule type="cellIs" dxfId="92" priority="83" operator="equal">
      <formula>"Catastrófico"</formula>
    </cfRule>
    <cfRule type="cellIs" dxfId="91" priority="84" operator="equal">
      <formula>"Mayor"</formula>
    </cfRule>
    <cfRule type="cellIs" dxfId="90" priority="85" operator="equal">
      <formula>"Moderado"</formula>
    </cfRule>
    <cfRule type="cellIs" dxfId="89" priority="86" operator="equal">
      <formula>"Menor"</formula>
    </cfRule>
    <cfRule type="cellIs" dxfId="88" priority="87" operator="equal">
      <formula>"Leve"</formula>
    </cfRule>
  </conditionalFormatting>
  <conditionalFormatting sqref="K41">
    <cfRule type="cellIs" dxfId="87" priority="78" operator="equal">
      <formula>"Muy Alta"</formula>
    </cfRule>
    <cfRule type="cellIs" dxfId="86" priority="79" operator="equal">
      <formula>"Alta"</formula>
    </cfRule>
    <cfRule type="cellIs" dxfId="85" priority="80" operator="equal">
      <formula>"Media"</formula>
    </cfRule>
    <cfRule type="cellIs" dxfId="84" priority="81" operator="equal">
      <formula>"Baja"</formula>
    </cfRule>
    <cfRule type="cellIs" dxfId="83" priority="82" operator="equal">
      <formula>"Muy Baja"</formula>
    </cfRule>
  </conditionalFormatting>
  <conditionalFormatting sqref="Q41">
    <cfRule type="cellIs" dxfId="82" priority="74" operator="equal">
      <formula>"Extremo"</formula>
    </cfRule>
    <cfRule type="cellIs" dxfId="81" priority="75" operator="equal">
      <formula>"Alto"</formula>
    </cfRule>
    <cfRule type="cellIs" dxfId="80" priority="76" operator="equal">
      <formula>"Moderado"</formula>
    </cfRule>
    <cfRule type="cellIs" dxfId="79" priority="77" operator="equal">
      <formula>"Bajo"</formula>
    </cfRule>
  </conditionalFormatting>
  <conditionalFormatting sqref="AB41:AB46">
    <cfRule type="cellIs" dxfId="78" priority="69" operator="equal">
      <formula>"Muy Alta"</formula>
    </cfRule>
    <cfRule type="cellIs" dxfId="77" priority="70" operator="equal">
      <formula>"Alta"</formula>
    </cfRule>
    <cfRule type="cellIs" dxfId="76" priority="71" operator="equal">
      <formula>"Media"</formula>
    </cfRule>
    <cfRule type="cellIs" dxfId="75" priority="72" operator="equal">
      <formula>"Baja"</formula>
    </cfRule>
    <cfRule type="cellIs" dxfId="74" priority="73" operator="equal">
      <formula>"Muy Baja"</formula>
    </cfRule>
  </conditionalFormatting>
  <conditionalFormatting sqref="AD41:AD46">
    <cfRule type="cellIs" dxfId="73" priority="64" operator="equal">
      <formula>"Catastrófico"</formula>
    </cfRule>
    <cfRule type="cellIs" dxfId="72" priority="65" operator="equal">
      <formula>"Mayor"</formula>
    </cfRule>
    <cfRule type="cellIs" dxfId="71" priority="66" operator="equal">
      <formula>"Moderado"</formula>
    </cfRule>
    <cfRule type="cellIs" dxfId="70" priority="67" operator="equal">
      <formula>"Menor"</formula>
    </cfRule>
    <cfRule type="cellIs" dxfId="69" priority="68" operator="equal">
      <formula>"Leve"</formula>
    </cfRule>
  </conditionalFormatting>
  <conditionalFormatting sqref="AF41:AF46">
    <cfRule type="cellIs" dxfId="68" priority="60" operator="equal">
      <formula>"Extremo"</formula>
    </cfRule>
    <cfRule type="cellIs" dxfId="67" priority="61" operator="equal">
      <formula>"Alto"</formula>
    </cfRule>
    <cfRule type="cellIs" dxfId="66" priority="62" operator="equal">
      <formula>"Moderado"</formula>
    </cfRule>
    <cfRule type="cellIs" dxfId="65" priority="63" operator="equal">
      <formula>"Bajo"</formula>
    </cfRule>
  </conditionalFormatting>
  <conditionalFormatting sqref="Q35">
    <cfRule type="cellIs" dxfId="64" priority="45" operator="equal">
      <formula>"Extremo"</formula>
    </cfRule>
    <cfRule type="cellIs" dxfId="63" priority="46" operator="equal">
      <formula>"Alto"</formula>
    </cfRule>
    <cfRule type="cellIs" dxfId="62" priority="47" operator="equal">
      <formula>"Moderado"</formula>
    </cfRule>
    <cfRule type="cellIs" dxfId="61" priority="48" operator="equal">
      <formula>"Bajo"</formula>
    </cfRule>
  </conditionalFormatting>
  <conditionalFormatting sqref="AB35:AB40">
    <cfRule type="cellIs" dxfId="60" priority="40" operator="equal">
      <formula>"Muy Alta"</formula>
    </cfRule>
    <cfRule type="cellIs" dxfId="59" priority="41" operator="equal">
      <formula>"Alta"</formula>
    </cfRule>
    <cfRule type="cellIs" dxfId="58" priority="42" operator="equal">
      <formula>"Media"</formula>
    </cfRule>
    <cfRule type="cellIs" dxfId="57" priority="43" operator="equal">
      <formula>"Baja"</formula>
    </cfRule>
    <cfRule type="cellIs" dxfId="56" priority="44" operator="equal">
      <formula>"Muy Baja"</formula>
    </cfRule>
  </conditionalFormatting>
  <conditionalFormatting sqref="AD35:AD40">
    <cfRule type="cellIs" dxfId="55" priority="35" operator="equal">
      <formula>"Catastrófico"</formula>
    </cfRule>
    <cfRule type="cellIs" dxfId="54" priority="36" operator="equal">
      <formula>"Mayor"</formula>
    </cfRule>
    <cfRule type="cellIs" dxfId="53" priority="37" operator="equal">
      <formula>"Moderado"</formula>
    </cfRule>
    <cfRule type="cellIs" dxfId="52" priority="38" operator="equal">
      <formula>"Menor"</formula>
    </cfRule>
    <cfRule type="cellIs" dxfId="51" priority="39" operator="equal">
      <formula>"Leve"</formula>
    </cfRule>
  </conditionalFormatting>
  <conditionalFormatting sqref="AF35:AF40">
    <cfRule type="cellIs" dxfId="50" priority="31" operator="equal">
      <formula>"Extremo"</formula>
    </cfRule>
    <cfRule type="cellIs" dxfId="49" priority="32" operator="equal">
      <formula>"Alto"</formula>
    </cfRule>
    <cfRule type="cellIs" dxfId="48" priority="33" operator="equal">
      <formula>"Moderado"</formula>
    </cfRule>
    <cfRule type="cellIs" dxfId="47" priority="34" operator="equal">
      <formula>"Bajo"</formula>
    </cfRule>
  </conditionalFormatting>
  <conditionalFormatting sqref="O35">
    <cfRule type="cellIs" dxfId="46" priority="54" operator="equal">
      <formula>"Catastrófico"</formula>
    </cfRule>
    <cfRule type="cellIs" dxfId="45" priority="55" operator="equal">
      <formula>"Mayor"</formula>
    </cfRule>
    <cfRule type="cellIs" dxfId="44" priority="56" operator="equal">
      <formula>"Moderado"</formula>
    </cfRule>
    <cfRule type="cellIs" dxfId="43" priority="57" operator="equal">
      <formula>"Menor"</formula>
    </cfRule>
    <cfRule type="cellIs" dxfId="42" priority="58" operator="equal">
      <formula>"Leve"</formula>
    </cfRule>
  </conditionalFormatting>
  <conditionalFormatting sqref="K35">
    <cfRule type="cellIs" dxfId="41" priority="49" operator="equal">
      <formula>"Muy Alta"</formula>
    </cfRule>
    <cfRule type="cellIs" dxfId="40" priority="50" operator="equal">
      <formula>"Alta"</formula>
    </cfRule>
    <cfRule type="cellIs" dxfId="39" priority="51" operator="equal">
      <formula>"Media"</formula>
    </cfRule>
    <cfRule type="cellIs" dxfId="38" priority="52" operator="equal">
      <formula>"Baja"</formula>
    </cfRule>
    <cfRule type="cellIs" dxfId="37" priority="53" operator="equal">
      <formula>"Muy Baja"</formula>
    </cfRule>
  </conditionalFormatting>
  <conditionalFormatting sqref="N35:N40">
    <cfRule type="containsText" dxfId="36" priority="30" operator="containsText" text="❌">
      <formula>NOT(ISERROR(SEARCH("❌",N35)))</formula>
    </cfRule>
  </conditionalFormatting>
  <conditionalFormatting sqref="O53">
    <cfRule type="cellIs" dxfId="35" priority="25" operator="equal">
      <formula>"Catastrófico"</formula>
    </cfRule>
    <cfRule type="cellIs" dxfId="34" priority="26" operator="equal">
      <formula>"Mayor"</formula>
    </cfRule>
    <cfRule type="cellIs" dxfId="33" priority="27" operator="equal">
      <formula>"Moderado"</formula>
    </cfRule>
    <cfRule type="cellIs" dxfId="32" priority="28" operator="equal">
      <formula>"Menor"</formula>
    </cfRule>
    <cfRule type="cellIs" dxfId="31" priority="29" operator="equal">
      <formula>"Leve"</formula>
    </cfRule>
  </conditionalFormatting>
  <conditionalFormatting sqref="K53">
    <cfRule type="cellIs" dxfId="30" priority="20" operator="equal">
      <formula>"Muy Alta"</formula>
    </cfRule>
    <cfRule type="cellIs" dxfId="29" priority="21" operator="equal">
      <formula>"Alta"</formula>
    </cfRule>
    <cfRule type="cellIs" dxfId="28" priority="22" operator="equal">
      <formula>"Media"</formula>
    </cfRule>
    <cfRule type="cellIs" dxfId="27" priority="23" operator="equal">
      <formula>"Baja"</formula>
    </cfRule>
    <cfRule type="cellIs" dxfId="26" priority="24" operator="equal">
      <formula>"Muy Baja"</formula>
    </cfRule>
  </conditionalFormatting>
  <conditionalFormatting sqref="Q53">
    <cfRule type="cellIs" dxfId="25" priority="16" operator="equal">
      <formula>"Extremo"</formula>
    </cfRule>
    <cfRule type="cellIs" dxfId="24" priority="17" operator="equal">
      <formula>"Alto"</formula>
    </cfRule>
    <cfRule type="cellIs" dxfId="23" priority="18" operator="equal">
      <formula>"Moderado"</formula>
    </cfRule>
    <cfRule type="cellIs" dxfId="22" priority="19" operator="equal">
      <formula>"Bajo"</formula>
    </cfRule>
  </conditionalFormatting>
  <conditionalFormatting sqref="AB53:AB58">
    <cfRule type="cellIs" dxfId="21" priority="11" operator="equal">
      <formula>"Muy Alta"</formula>
    </cfRule>
    <cfRule type="cellIs" dxfId="20" priority="12" operator="equal">
      <formula>"Alta"</formula>
    </cfRule>
    <cfRule type="cellIs" dxfId="19" priority="13" operator="equal">
      <formula>"Media"</formula>
    </cfRule>
    <cfRule type="cellIs" dxfId="18" priority="14" operator="equal">
      <formula>"Baja"</formula>
    </cfRule>
    <cfRule type="cellIs" dxfId="17" priority="15" operator="equal">
      <formula>"Muy Baja"</formula>
    </cfRule>
  </conditionalFormatting>
  <conditionalFormatting sqref="AD53:AD58">
    <cfRule type="cellIs" dxfId="16" priority="6" operator="equal">
      <formula>"Catastrófico"</formula>
    </cfRule>
    <cfRule type="cellIs" dxfId="15" priority="7" operator="equal">
      <formula>"Mayor"</formula>
    </cfRule>
    <cfRule type="cellIs" dxfId="14" priority="8" operator="equal">
      <formula>"Moderado"</formula>
    </cfRule>
    <cfRule type="cellIs" dxfId="13" priority="9" operator="equal">
      <formula>"Menor"</formula>
    </cfRule>
    <cfRule type="cellIs" dxfId="12" priority="10" operator="equal">
      <formula>"Leve"</formula>
    </cfRule>
  </conditionalFormatting>
  <conditionalFormatting sqref="AF53:AF58">
    <cfRule type="cellIs" dxfId="11" priority="2" operator="equal">
      <formula>"Extremo"</formula>
    </cfRule>
    <cfRule type="cellIs" dxfId="10" priority="3" operator="equal">
      <formula>"Alto"</formula>
    </cfRule>
    <cfRule type="cellIs" dxfId="9" priority="4" operator="equal">
      <formula>"Moderado"</formula>
    </cfRule>
    <cfRule type="cellIs" dxfId="8" priority="5" operator="equal">
      <formula>"Bajo"</formula>
    </cfRule>
  </conditionalFormatting>
  <conditionalFormatting sqref="N53:N58">
    <cfRule type="containsText" dxfId="7" priority="1" operator="containsText" text="❌">
      <formula>NOT(ISERROR(SEARCH("❌",N53)))</formula>
    </cfRule>
  </conditionalFormatting>
  <pageMargins left="0.7" right="0.7" top="0.75" bottom="0.75" header="0.3" footer="0.3"/>
  <pageSetup orientation="portrait" r:id="rId1"/>
  <ignoredErrors>
    <ignoredError sqref="AE13" formula="1"/>
  </ignoredErrors>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Procesos!$D$16:$D$22</xm:f>
          </x14:formula1>
          <xm:sqref>D11 D23 D29 D47 D59 D17 B11 B17 B59 B47 B29 B23 D71 B71 D41 B41 D35 B35 D53 B53</xm:sqref>
        </x14:dataValidation>
        <x14:dataValidation type="list" allowBlank="1" showInputMessage="1" showErrorMessage="1">
          <x14:formula1>
            <xm:f>Procesos!$E$2:$E$27</xm:f>
          </x14:formula1>
          <xm:sqref>D5:Q5</xm:sqref>
        </x14:dataValidation>
        <x14:dataValidation type="list" allowBlank="1" showInputMessage="1" showErrorMessage="1">
          <x14:formula1>
            <xm:f>Procesos!$A$2:$A$22</xm:f>
          </x14:formula1>
          <xm:sqref>D4:Q4</xm:sqref>
        </x14:dataValidation>
        <x14:dataValidation type="list" allowBlank="1" showInputMessage="1" showErrorMessage="1">
          <x14:formula1>
            <xm:f>'Tabla Valoración controles'!$D$4:$D$6</xm:f>
          </x14:formula1>
          <xm:sqref>U11:U76</xm:sqref>
        </x14:dataValidation>
        <x14:dataValidation type="list" allowBlank="1" showInputMessage="1" showErrorMessage="1">
          <x14:formula1>
            <xm:f>'Tabla Valoración controles'!$D$7:$D$8</xm:f>
          </x14:formula1>
          <xm:sqref>V11:V76</xm:sqref>
        </x14:dataValidation>
        <x14:dataValidation type="list" allowBlank="1" showInputMessage="1" showErrorMessage="1">
          <x14:formula1>
            <xm:f>'Tabla Valoración controles'!$D$9:$D$10</xm:f>
          </x14:formula1>
          <xm:sqref>X11:X76</xm:sqref>
        </x14:dataValidation>
        <x14:dataValidation type="list" allowBlank="1" showInputMessage="1" showErrorMessage="1">
          <x14:formula1>
            <xm:f>'Tabla Valoración controles'!$D$11:$D$12</xm:f>
          </x14:formula1>
          <xm:sqref>Y11:Y76</xm:sqref>
        </x14:dataValidation>
        <x14:dataValidation type="list" allowBlank="1" showInputMessage="1" showErrorMessage="1">
          <x14:formula1>
            <xm:f>'Tabla Valoración controles'!$D$13:$D$14</xm:f>
          </x14:formula1>
          <xm:sqref>Z11:Z76</xm:sqref>
        </x14:dataValidation>
        <x14:dataValidation type="list" allowBlank="1" showInputMessage="1" showErrorMessage="1">
          <x14:formula1>
            <xm:f>'Opciones Tratamiento'!$E$2:$E$4</xm:f>
          </x14:formula1>
          <xm:sqref>D11:D76</xm:sqref>
        </x14:dataValidation>
        <x14:dataValidation type="list" allowBlank="1" showInputMessage="1" showErrorMessage="1">
          <x14:formula1>
            <xm:f>'Opciones Tratamiento'!$B$2:$B$5</xm:f>
          </x14:formula1>
          <xm:sqref>AG11:AG76</xm:sqref>
        </x14:dataValidation>
        <x14:dataValidation type="list" allowBlank="1" showInputMessage="1" showErrorMessage="1">
          <x14:formula1>
            <xm:f>'Tabla Impacto'!$F$210:$F$221</xm:f>
          </x14:formula1>
          <xm:sqref>M11:M76</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AH11:AH76</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AI11:AI76</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AJ11:AJ76</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AK11:AK76</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AL11:AL76</xm:sqref>
        </x14:dataValidation>
        <x14:dataValidation type="list" allowBlank="1" showInputMessage="1" showErrorMessage="1">
          <x14:formula1>
            <xm:f>'Tabla Impacto'!$D$229:$D$237</xm:f>
          </x14:formula1>
          <xm:sqref>G11:G76</xm:sqref>
        </x14:dataValidation>
        <x14:dataValidation type="list" allowBlank="1" showInputMessage="1" showErrorMessage="1">
          <x14:formula1>
            <xm:f>'Opciones Tratamiento'!$B$9:$B$11</xm:f>
          </x14:formula1>
          <xm:sqref>AM11:AM76</xm:sqref>
        </x14:dataValidation>
        <x14:dataValidation type="list" allowBlank="1" showInputMessage="1" showErrorMessage="1">
          <x14:formula1>
            <xm:f>'Opciones Tratamiento'!$B$13:$B$19</xm:f>
          </x14:formula1>
          <xm:sqref>I11:I76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J12" sqref="J12:K13"/>
    </sheetView>
  </sheetViews>
  <sheetFormatPr baseColWidth="10" defaultRowHeight="15" x14ac:dyDescent="0.25"/>
  <cols>
    <col min="2" max="39" width="5.5703125" customWidth="1"/>
    <col min="41" max="46" width="5.570312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71" t="s">
        <v>143</v>
      </c>
      <c r="C2" s="371"/>
      <c r="D2" s="371"/>
      <c r="E2" s="371"/>
      <c r="F2" s="371"/>
      <c r="G2" s="371"/>
      <c r="H2" s="371"/>
      <c r="I2" s="371"/>
      <c r="J2" s="338" t="s">
        <v>2</v>
      </c>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71"/>
      <c r="C3" s="371"/>
      <c r="D3" s="371"/>
      <c r="E3" s="371"/>
      <c r="F3" s="371"/>
      <c r="G3" s="371"/>
      <c r="H3" s="371"/>
      <c r="I3" s="371"/>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71"/>
      <c r="C4" s="371"/>
      <c r="D4" s="371"/>
      <c r="E4" s="371"/>
      <c r="F4" s="371"/>
      <c r="G4" s="371"/>
      <c r="H4" s="371"/>
      <c r="I4" s="371"/>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4" t="s">
        <v>3</v>
      </c>
      <c r="C6" s="284"/>
      <c r="D6" s="285"/>
      <c r="E6" s="322" t="s">
        <v>108</v>
      </c>
      <c r="F6" s="323"/>
      <c r="G6" s="323"/>
      <c r="H6" s="323"/>
      <c r="I6" s="324"/>
      <c r="J6" s="334" t="str">
        <f ca="1">IF(AND('Mapa final'!$K$11="Muy Alta",'Mapa final'!$O$11="Leve"),CONCATENATE("R",'Mapa final'!$A$11),"")</f>
        <v/>
      </c>
      <c r="K6" s="335"/>
      <c r="L6" s="335" t="str">
        <f ca="1">IF(AND('Mapa final'!$K$17="Muy Alta",'Mapa final'!$O$17="Leve"),CONCATENATE("R",'Mapa final'!$A$17),"")</f>
        <v/>
      </c>
      <c r="M6" s="335"/>
      <c r="N6" s="335" t="str">
        <f ca="1">IF(AND('Mapa final'!$K$23="Muy Alta",'Mapa final'!$O$23="Leve"),CONCATENATE("R",'Mapa final'!$A$23),"")</f>
        <v/>
      </c>
      <c r="O6" s="337"/>
      <c r="P6" s="334" t="str">
        <f ca="1">IF(AND('Mapa final'!$K$11="Muy Alta",'Mapa final'!$O$11="Menor"),CONCATENATE("R",'Mapa final'!$A$11),"")</f>
        <v/>
      </c>
      <c r="Q6" s="335"/>
      <c r="R6" s="335" t="str">
        <f ca="1">IF(AND('Mapa final'!$K$17="Muy Alta",'Mapa final'!$O$17="Menor"),CONCATENATE("R",'Mapa final'!$A$17),"")</f>
        <v/>
      </c>
      <c r="S6" s="335"/>
      <c r="T6" s="335" t="str">
        <f ca="1">IF(AND('Mapa final'!$K$23="Muy Alta",'Mapa final'!$O$23="Menor"),CONCATENATE("R",'Mapa final'!$A$23),"")</f>
        <v/>
      </c>
      <c r="U6" s="337"/>
      <c r="V6" s="334" t="str">
        <f ca="1">IF(AND('Mapa final'!$K$11="Muy Alta",'Mapa final'!$O$11="Moderado"),CONCATENATE("R",'Mapa final'!$A$11),"")</f>
        <v/>
      </c>
      <c r="W6" s="335"/>
      <c r="X6" s="335" t="str">
        <f ca="1">IF(AND('Mapa final'!$K$17="Muy Alta",'Mapa final'!$O$17="Moderado"),CONCATENATE("R",'Mapa final'!$A$17),"")</f>
        <v/>
      </c>
      <c r="Y6" s="335"/>
      <c r="Z6" s="335" t="str">
        <f ca="1">IF(AND('Mapa final'!$K$23="Muy Alta",'Mapa final'!$O$23="Moderado"),CONCATENATE("R",'Mapa final'!$A$23),"")</f>
        <v/>
      </c>
      <c r="AA6" s="337"/>
      <c r="AB6" s="334" t="str">
        <f ca="1">IF(AND('Mapa final'!$K$11="Muy Alta",'Mapa final'!$O$11="Mayor"),CONCATENATE("R",'Mapa final'!$A$11),"")</f>
        <v/>
      </c>
      <c r="AC6" s="335"/>
      <c r="AD6" s="335" t="str">
        <f ca="1">IF(AND('Mapa final'!$K$17="Muy Alta",'Mapa final'!$O$17="Mayor"),CONCATENATE("R",'Mapa final'!$A$17),"")</f>
        <v/>
      </c>
      <c r="AE6" s="335"/>
      <c r="AF6" s="335" t="str">
        <f ca="1">IF(AND('Mapa final'!$K$23="Muy Alta",'Mapa final'!$O$23="Mayor"),CONCATENATE("R",'Mapa final'!$A$23),"")</f>
        <v/>
      </c>
      <c r="AG6" s="337"/>
      <c r="AH6" s="350" t="str">
        <f ca="1">IF(AND('Mapa final'!$K$11="Muy Alta",'Mapa final'!$O$11="Catastrófico"),CONCATENATE("R",'Mapa final'!$A$11),"")</f>
        <v/>
      </c>
      <c r="AI6" s="351"/>
      <c r="AJ6" s="351" t="str">
        <f ca="1">IF(AND('Mapa final'!$K$17="Muy Alta",'Mapa final'!$O$17="Catastrófico"),CONCATENATE("R",'Mapa final'!$A$17),"")</f>
        <v/>
      </c>
      <c r="AK6" s="351"/>
      <c r="AL6" s="351" t="str">
        <f ca="1">IF(AND('Mapa final'!$K$23="Muy Alta",'Mapa final'!$O$23="Catastrófico"),CONCATENATE("R",'Mapa final'!$A$23),"")</f>
        <v/>
      </c>
      <c r="AM6" s="352"/>
      <c r="AO6" s="286" t="s">
        <v>76</v>
      </c>
      <c r="AP6" s="287"/>
      <c r="AQ6" s="287"/>
      <c r="AR6" s="287"/>
      <c r="AS6" s="287"/>
      <c r="AT6" s="28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4"/>
      <c r="C7" s="284"/>
      <c r="D7" s="285"/>
      <c r="E7" s="325"/>
      <c r="F7" s="326"/>
      <c r="G7" s="326"/>
      <c r="H7" s="326"/>
      <c r="I7" s="327"/>
      <c r="J7" s="336"/>
      <c r="K7" s="333"/>
      <c r="L7" s="333"/>
      <c r="M7" s="333"/>
      <c r="N7" s="333"/>
      <c r="O7" s="332"/>
      <c r="P7" s="336"/>
      <c r="Q7" s="333"/>
      <c r="R7" s="333"/>
      <c r="S7" s="333"/>
      <c r="T7" s="333"/>
      <c r="U7" s="332"/>
      <c r="V7" s="336"/>
      <c r="W7" s="333"/>
      <c r="X7" s="333"/>
      <c r="Y7" s="333"/>
      <c r="Z7" s="333"/>
      <c r="AA7" s="332"/>
      <c r="AB7" s="336"/>
      <c r="AC7" s="333"/>
      <c r="AD7" s="333"/>
      <c r="AE7" s="333"/>
      <c r="AF7" s="333"/>
      <c r="AG7" s="332"/>
      <c r="AH7" s="344"/>
      <c r="AI7" s="345"/>
      <c r="AJ7" s="345"/>
      <c r="AK7" s="345"/>
      <c r="AL7" s="345"/>
      <c r="AM7" s="346"/>
      <c r="AN7" s="83"/>
      <c r="AO7" s="289"/>
      <c r="AP7" s="290"/>
      <c r="AQ7" s="290"/>
      <c r="AR7" s="290"/>
      <c r="AS7" s="290"/>
      <c r="AT7" s="29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4"/>
      <c r="C8" s="284"/>
      <c r="D8" s="285"/>
      <c r="E8" s="325"/>
      <c r="F8" s="326"/>
      <c r="G8" s="326"/>
      <c r="H8" s="326"/>
      <c r="I8" s="327"/>
      <c r="J8" s="336" t="str">
        <f ca="1">IF(AND('Mapa final'!$K$29="Muy Alta",'Mapa final'!$O$29="Leve"),CONCATENATE("R",'Mapa final'!$A$29),"")</f>
        <v/>
      </c>
      <c r="K8" s="333"/>
      <c r="L8" s="331" t="str">
        <f ca="1">IF(AND('Mapa final'!$K$41="Muy Alta",'Mapa final'!$O$41="Leve"),CONCATENATE("R",'Mapa final'!$A$41),"")</f>
        <v/>
      </c>
      <c r="M8" s="331"/>
      <c r="N8" s="331" t="e">
        <f>IF(AND('Mapa final'!#REF!="Muy Alta",'Mapa final'!#REF!="Leve"),CONCATENATE("R",'Mapa final'!#REF!),"")</f>
        <v>#REF!</v>
      </c>
      <c r="O8" s="332"/>
      <c r="P8" s="336" t="str">
        <f ca="1">IF(AND('Mapa final'!$K$29="Muy Alta",'Mapa final'!$O$29="Menor"),CONCATENATE("R",'Mapa final'!$A$29),"")</f>
        <v/>
      </c>
      <c r="Q8" s="333"/>
      <c r="R8" s="331" t="str">
        <f ca="1">IF(AND('Mapa final'!$K$41="Muy Alta",'Mapa final'!$O$41="Menor"),CONCATENATE("R",'Mapa final'!$A$41),"")</f>
        <v/>
      </c>
      <c r="S8" s="331"/>
      <c r="T8" s="331" t="e">
        <f>IF(AND('Mapa final'!#REF!="Muy Alta",'Mapa final'!#REF!="Menor"),CONCATENATE("R",'Mapa final'!#REF!),"")</f>
        <v>#REF!</v>
      </c>
      <c r="U8" s="332"/>
      <c r="V8" s="336" t="str">
        <f ca="1">IF(AND('Mapa final'!$K$29="Muy Alta",'Mapa final'!$O$29="Moderado"),CONCATENATE("R",'Mapa final'!$A$29),"")</f>
        <v/>
      </c>
      <c r="W8" s="333"/>
      <c r="X8" s="331" t="str">
        <f ca="1">IF(AND('Mapa final'!$K$41="Muy Alta",'Mapa final'!$O$41="Moderado"),CONCATENATE("R",'Mapa final'!$A$41),"")</f>
        <v/>
      </c>
      <c r="Y8" s="331"/>
      <c r="Z8" s="331" t="e">
        <f>IF(AND('Mapa final'!#REF!="Muy Alta",'Mapa final'!#REF!="Moderado"),CONCATENATE("R",'Mapa final'!#REF!),"")</f>
        <v>#REF!</v>
      </c>
      <c r="AA8" s="332"/>
      <c r="AB8" s="336" t="str">
        <f ca="1">IF(AND('Mapa final'!$K$29="Muy Alta",'Mapa final'!$O$29="Mayor"),CONCATENATE("R",'Mapa final'!$A$29),"")</f>
        <v/>
      </c>
      <c r="AC8" s="333"/>
      <c r="AD8" s="331" t="str">
        <f ca="1">IF(AND('Mapa final'!$K$41="Muy Alta",'Mapa final'!$O$41="Mayor"),CONCATENATE("R",'Mapa final'!$A$41),"")</f>
        <v/>
      </c>
      <c r="AE8" s="331"/>
      <c r="AF8" s="331" t="e">
        <f>IF(AND('Mapa final'!#REF!="Muy Alta",'Mapa final'!#REF!="Mayor"),CONCATENATE("R",'Mapa final'!#REF!),"")</f>
        <v>#REF!</v>
      </c>
      <c r="AG8" s="332"/>
      <c r="AH8" s="344" t="str">
        <f ca="1">IF(AND('Mapa final'!$K$29="Muy Alta",'Mapa final'!$O$29="Catastrófico"),CONCATENATE("R",'Mapa final'!$A$29),"")</f>
        <v/>
      </c>
      <c r="AI8" s="345"/>
      <c r="AJ8" s="345" t="str">
        <f ca="1">IF(AND('Mapa final'!$K$41="Muy Alta",'Mapa final'!$O$41="Catastrófico"),CONCATENATE("R",'Mapa final'!$A$41),"")</f>
        <v/>
      </c>
      <c r="AK8" s="345"/>
      <c r="AL8" s="345" t="e">
        <f>IF(AND('Mapa final'!#REF!="Muy Alta",'Mapa final'!#REF!="Catastrófico"),CONCATENATE("R",'Mapa final'!#REF!),"")</f>
        <v>#REF!</v>
      </c>
      <c r="AM8" s="346"/>
      <c r="AN8" s="83"/>
      <c r="AO8" s="289"/>
      <c r="AP8" s="290"/>
      <c r="AQ8" s="290"/>
      <c r="AR8" s="290"/>
      <c r="AS8" s="290"/>
      <c r="AT8" s="29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4"/>
      <c r="C9" s="284"/>
      <c r="D9" s="285"/>
      <c r="E9" s="325"/>
      <c r="F9" s="326"/>
      <c r="G9" s="326"/>
      <c r="H9" s="326"/>
      <c r="I9" s="327"/>
      <c r="J9" s="336"/>
      <c r="K9" s="333"/>
      <c r="L9" s="331"/>
      <c r="M9" s="331"/>
      <c r="N9" s="331"/>
      <c r="O9" s="332"/>
      <c r="P9" s="336"/>
      <c r="Q9" s="333"/>
      <c r="R9" s="331"/>
      <c r="S9" s="331"/>
      <c r="T9" s="331"/>
      <c r="U9" s="332"/>
      <c r="V9" s="336"/>
      <c r="W9" s="333"/>
      <c r="X9" s="331"/>
      <c r="Y9" s="331"/>
      <c r="Z9" s="331"/>
      <c r="AA9" s="332"/>
      <c r="AB9" s="336"/>
      <c r="AC9" s="333"/>
      <c r="AD9" s="331"/>
      <c r="AE9" s="331"/>
      <c r="AF9" s="331"/>
      <c r="AG9" s="332"/>
      <c r="AH9" s="344"/>
      <c r="AI9" s="345"/>
      <c r="AJ9" s="345"/>
      <c r="AK9" s="345"/>
      <c r="AL9" s="345"/>
      <c r="AM9" s="346"/>
      <c r="AN9" s="83"/>
      <c r="AO9" s="289"/>
      <c r="AP9" s="290"/>
      <c r="AQ9" s="290"/>
      <c r="AR9" s="290"/>
      <c r="AS9" s="290"/>
      <c r="AT9" s="29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4"/>
      <c r="C10" s="284"/>
      <c r="D10" s="285"/>
      <c r="E10" s="325"/>
      <c r="F10" s="326"/>
      <c r="G10" s="326"/>
      <c r="H10" s="326"/>
      <c r="I10" s="327"/>
      <c r="J10" s="336" t="e">
        <f>IF(AND('Mapa final'!#REF!="Muy Alta",'Mapa final'!#REF!="Leve"),CONCATENATE("R",'Mapa final'!#REF!),"")</f>
        <v>#REF!</v>
      </c>
      <c r="K10" s="333"/>
      <c r="L10" s="331" t="str">
        <f ca="1">IF(AND('Mapa final'!$K$47="Muy Alta",'Mapa final'!$O$47="Leve"),CONCATENATE("R",'Mapa final'!$A$47),"")</f>
        <v/>
      </c>
      <c r="M10" s="331"/>
      <c r="N10" s="331" t="str">
        <f ca="1">IF(AND('Mapa final'!$K$59="Muy Alta",'Mapa final'!$O$59="Leve"),CONCATENATE("R",'Mapa final'!$A$59),"")</f>
        <v/>
      </c>
      <c r="O10" s="332"/>
      <c r="P10" s="336" t="e">
        <f>IF(AND('Mapa final'!#REF!="Muy Alta",'Mapa final'!#REF!="Menor"),CONCATENATE("R",'Mapa final'!#REF!),"")</f>
        <v>#REF!</v>
      </c>
      <c r="Q10" s="333"/>
      <c r="R10" s="331" t="str">
        <f ca="1">IF(AND('Mapa final'!$K$47="Muy Alta",'Mapa final'!$O$47="Menor"),CONCATENATE("R",'Mapa final'!$A$47),"")</f>
        <v/>
      </c>
      <c r="S10" s="331"/>
      <c r="T10" s="331" t="str">
        <f ca="1">IF(AND('Mapa final'!$K$59="Muy Alta",'Mapa final'!$O$59="Menor"),CONCATENATE("R",'Mapa final'!$A$59),"")</f>
        <v/>
      </c>
      <c r="U10" s="332"/>
      <c r="V10" s="336" t="e">
        <f>IF(AND('Mapa final'!#REF!="Muy Alta",'Mapa final'!#REF!="Moderado"),CONCATENATE("R",'Mapa final'!#REF!),"")</f>
        <v>#REF!</v>
      </c>
      <c r="W10" s="333"/>
      <c r="X10" s="331" t="str">
        <f ca="1">IF(AND('Mapa final'!$K$47="Muy Alta",'Mapa final'!$O$47="Moderado"),CONCATENATE("R",'Mapa final'!$A$47),"")</f>
        <v/>
      </c>
      <c r="Y10" s="331"/>
      <c r="Z10" s="331" t="str">
        <f ca="1">IF(AND('Mapa final'!$K$59="Muy Alta",'Mapa final'!$O$59="Moderado"),CONCATENATE("R",'Mapa final'!$A$59),"")</f>
        <v/>
      </c>
      <c r="AA10" s="332"/>
      <c r="AB10" s="336" t="e">
        <f>IF(AND('Mapa final'!#REF!="Muy Alta",'Mapa final'!#REF!="Mayor"),CONCATENATE("R",'Mapa final'!#REF!),"")</f>
        <v>#REF!</v>
      </c>
      <c r="AC10" s="333"/>
      <c r="AD10" s="331" t="str">
        <f ca="1">IF(AND('Mapa final'!$K$47="Muy Alta",'Mapa final'!$O$47="Mayor"),CONCATENATE("R",'Mapa final'!$A$47),"")</f>
        <v/>
      </c>
      <c r="AE10" s="331"/>
      <c r="AF10" s="331" t="str">
        <f ca="1">IF(AND('Mapa final'!$K$59="Muy Alta",'Mapa final'!$O$59="Mayor"),CONCATENATE("R",'Mapa final'!$A$59),"")</f>
        <v/>
      </c>
      <c r="AG10" s="332"/>
      <c r="AH10" s="344" t="e">
        <f>IF(AND('Mapa final'!#REF!="Muy Alta",'Mapa final'!#REF!="Catastrófico"),CONCATENATE("R",'Mapa final'!#REF!),"")</f>
        <v>#REF!</v>
      </c>
      <c r="AI10" s="345"/>
      <c r="AJ10" s="345" t="str">
        <f ca="1">IF(AND('Mapa final'!$K$47="Muy Alta",'Mapa final'!$O$47="Catastrófico"),CONCATENATE("R",'Mapa final'!$A$47),"")</f>
        <v/>
      </c>
      <c r="AK10" s="345"/>
      <c r="AL10" s="345" t="str">
        <f ca="1">IF(AND('Mapa final'!$K$59="Muy Alta",'Mapa final'!$O$59="Catastrófico"),CONCATENATE("R",'Mapa final'!$A$59),"")</f>
        <v/>
      </c>
      <c r="AM10" s="346"/>
      <c r="AN10" s="83"/>
      <c r="AO10" s="289"/>
      <c r="AP10" s="290"/>
      <c r="AQ10" s="290"/>
      <c r="AR10" s="290"/>
      <c r="AS10" s="290"/>
      <c r="AT10" s="29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4"/>
      <c r="C11" s="284"/>
      <c r="D11" s="285"/>
      <c r="E11" s="325"/>
      <c r="F11" s="326"/>
      <c r="G11" s="326"/>
      <c r="H11" s="326"/>
      <c r="I11" s="327"/>
      <c r="J11" s="336"/>
      <c r="K11" s="333"/>
      <c r="L11" s="331"/>
      <c r="M11" s="331"/>
      <c r="N11" s="331"/>
      <c r="O11" s="332"/>
      <c r="P11" s="336"/>
      <c r="Q11" s="333"/>
      <c r="R11" s="331"/>
      <c r="S11" s="331"/>
      <c r="T11" s="331"/>
      <c r="U11" s="332"/>
      <c r="V11" s="336"/>
      <c r="W11" s="333"/>
      <c r="X11" s="331"/>
      <c r="Y11" s="331"/>
      <c r="Z11" s="331"/>
      <c r="AA11" s="332"/>
      <c r="AB11" s="336"/>
      <c r="AC11" s="333"/>
      <c r="AD11" s="331"/>
      <c r="AE11" s="331"/>
      <c r="AF11" s="331"/>
      <c r="AG11" s="332"/>
      <c r="AH11" s="344"/>
      <c r="AI11" s="345"/>
      <c r="AJ11" s="345"/>
      <c r="AK11" s="345"/>
      <c r="AL11" s="345"/>
      <c r="AM11" s="346"/>
      <c r="AN11" s="83"/>
      <c r="AO11" s="289"/>
      <c r="AP11" s="290"/>
      <c r="AQ11" s="290"/>
      <c r="AR11" s="290"/>
      <c r="AS11" s="290"/>
      <c r="AT11" s="29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4"/>
      <c r="C12" s="284"/>
      <c r="D12" s="285"/>
      <c r="E12" s="325"/>
      <c r="F12" s="326"/>
      <c r="G12" s="326"/>
      <c r="H12" s="326"/>
      <c r="I12" s="327"/>
      <c r="J12" s="336" t="str">
        <f ca="1">IF(AND('Mapa final'!$K$71="Muy Alta",'Mapa final'!$O$71="Leve"),CONCATENATE("R",'Mapa final'!$A$71),"")</f>
        <v/>
      </c>
      <c r="K12" s="333"/>
      <c r="L12" s="331" t="str">
        <f>IF(AND('Mapa final'!$K$77="Muy Alta",'Mapa final'!$O$77="Leve"),CONCATENATE("R",'Mapa final'!$A$77),"")</f>
        <v/>
      </c>
      <c r="M12" s="331"/>
      <c r="N12" s="331" t="str">
        <f>IF(AND('Mapa final'!$K$83="Muy Alta",'Mapa final'!$O$83="Leve"),CONCATENATE("R",'Mapa final'!$A$83),"")</f>
        <v/>
      </c>
      <c r="O12" s="332"/>
      <c r="P12" s="336" t="str">
        <f ca="1">IF(AND('Mapa final'!$K$71="Muy Alta",'Mapa final'!$O$71="Menor"),CONCATENATE("R",'Mapa final'!$A$71),"")</f>
        <v/>
      </c>
      <c r="Q12" s="333"/>
      <c r="R12" s="331" t="str">
        <f>IF(AND('Mapa final'!$K$77="Muy Alta",'Mapa final'!$O$77="Menor"),CONCATENATE("R",'Mapa final'!$A$77),"")</f>
        <v/>
      </c>
      <c r="S12" s="331"/>
      <c r="T12" s="331" t="str">
        <f>IF(AND('Mapa final'!$K$83="Muy Alta",'Mapa final'!$O$83="Menor"),CONCATENATE("R",'Mapa final'!$A$83),"")</f>
        <v/>
      </c>
      <c r="U12" s="332"/>
      <c r="V12" s="336" t="str">
        <f ca="1">IF(AND('Mapa final'!$K$71="Muy Alta",'Mapa final'!$O$71="Moderado"),CONCATENATE("R",'Mapa final'!$A$71),"")</f>
        <v/>
      </c>
      <c r="W12" s="333"/>
      <c r="X12" s="331" t="str">
        <f>IF(AND('Mapa final'!$K$77="Muy Alta",'Mapa final'!$O$77="Moderado"),CONCATENATE("R",'Mapa final'!$A$77),"")</f>
        <v/>
      </c>
      <c r="Y12" s="331"/>
      <c r="Z12" s="331" t="str">
        <f>IF(AND('Mapa final'!$K$83="Muy Alta",'Mapa final'!$O$83="Moderado"),CONCATENATE("R",'Mapa final'!$A$83),"")</f>
        <v/>
      </c>
      <c r="AA12" s="332"/>
      <c r="AB12" s="336" t="str">
        <f ca="1">IF(AND('Mapa final'!$K$71="Muy Alta",'Mapa final'!$O$71="Mayor"),CONCATENATE("R",'Mapa final'!$A$71),"")</f>
        <v/>
      </c>
      <c r="AC12" s="333"/>
      <c r="AD12" s="331" t="str">
        <f>IF(AND('Mapa final'!$K$77="Muy Alta",'Mapa final'!$O$77="Mayor"),CONCATENATE("R",'Mapa final'!$A$77),"")</f>
        <v/>
      </c>
      <c r="AE12" s="331"/>
      <c r="AF12" s="331" t="str">
        <f>IF(AND('Mapa final'!$K$83="Muy Alta",'Mapa final'!$O$83="Mayor"),CONCATENATE("R",'Mapa final'!$A$83),"")</f>
        <v/>
      </c>
      <c r="AG12" s="332"/>
      <c r="AH12" s="344" t="str">
        <f ca="1">IF(AND('Mapa final'!$K$71="Muy Alta",'Mapa final'!$O$71="Catastrófico"),CONCATENATE("R",'Mapa final'!$A$71),"")</f>
        <v/>
      </c>
      <c r="AI12" s="345"/>
      <c r="AJ12" s="345" t="str">
        <f>IF(AND('Mapa final'!$K$77="Muy Alta",'Mapa final'!$O$77="Catastrófico"),CONCATENATE("R",'Mapa final'!$A$77),"")</f>
        <v/>
      </c>
      <c r="AK12" s="345"/>
      <c r="AL12" s="345" t="str">
        <f>IF(AND('Mapa final'!$K$83="Muy Alta",'Mapa final'!$O$83="Catastrófico"),CONCATENATE("R",'Mapa final'!$A$83),"")</f>
        <v/>
      </c>
      <c r="AM12" s="346"/>
      <c r="AN12" s="83"/>
      <c r="AO12" s="289"/>
      <c r="AP12" s="290"/>
      <c r="AQ12" s="290"/>
      <c r="AR12" s="290"/>
      <c r="AS12" s="290"/>
      <c r="AT12" s="29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4"/>
      <c r="C13" s="284"/>
      <c r="D13" s="285"/>
      <c r="E13" s="328"/>
      <c r="F13" s="329"/>
      <c r="G13" s="329"/>
      <c r="H13" s="329"/>
      <c r="I13" s="330"/>
      <c r="J13" s="336"/>
      <c r="K13" s="333"/>
      <c r="L13" s="333"/>
      <c r="M13" s="333"/>
      <c r="N13" s="333"/>
      <c r="O13" s="332"/>
      <c r="P13" s="336"/>
      <c r="Q13" s="333"/>
      <c r="R13" s="333"/>
      <c r="S13" s="333"/>
      <c r="T13" s="333"/>
      <c r="U13" s="332"/>
      <c r="V13" s="336"/>
      <c r="W13" s="333"/>
      <c r="X13" s="333"/>
      <c r="Y13" s="333"/>
      <c r="Z13" s="333"/>
      <c r="AA13" s="332"/>
      <c r="AB13" s="336"/>
      <c r="AC13" s="333"/>
      <c r="AD13" s="333"/>
      <c r="AE13" s="333"/>
      <c r="AF13" s="333"/>
      <c r="AG13" s="332"/>
      <c r="AH13" s="347"/>
      <c r="AI13" s="348"/>
      <c r="AJ13" s="348"/>
      <c r="AK13" s="348"/>
      <c r="AL13" s="348"/>
      <c r="AM13" s="349"/>
      <c r="AN13" s="83"/>
      <c r="AO13" s="292"/>
      <c r="AP13" s="293"/>
      <c r="AQ13" s="293"/>
      <c r="AR13" s="293"/>
      <c r="AS13" s="293"/>
      <c r="AT13" s="29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4"/>
      <c r="C14" s="284"/>
      <c r="D14" s="285"/>
      <c r="E14" s="322" t="s">
        <v>107</v>
      </c>
      <c r="F14" s="323"/>
      <c r="G14" s="323"/>
      <c r="H14" s="323"/>
      <c r="I14" s="323"/>
      <c r="J14" s="359" t="str">
        <f ca="1">IF(AND('Mapa final'!$K$11="Alta",'Mapa final'!$O$11="Leve"),CONCATENATE("R",'Mapa final'!$A$11),"")</f>
        <v/>
      </c>
      <c r="K14" s="360"/>
      <c r="L14" s="360" t="str">
        <f ca="1">IF(AND('Mapa final'!$K$17="Alta",'Mapa final'!$O$17="Leve"),CONCATENATE("R",'Mapa final'!$A$17),"")</f>
        <v/>
      </c>
      <c r="M14" s="360"/>
      <c r="N14" s="360" t="str">
        <f ca="1">IF(AND('Mapa final'!$K$23="Alta",'Mapa final'!$O$23="Leve"),CONCATENATE("R",'Mapa final'!$A$23),"")</f>
        <v/>
      </c>
      <c r="O14" s="361"/>
      <c r="P14" s="359" t="str">
        <f ca="1">IF(AND('Mapa final'!$K$11="Alta",'Mapa final'!$O$11="Menor"),CONCATENATE("R",'Mapa final'!$A$11),"")</f>
        <v/>
      </c>
      <c r="Q14" s="360"/>
      <c r="R14" s="360" t="str">
        <f ca="1">IF(AND('Mapa final'!$K$17="Alta",'Mapa final'!$O$17="Menor"),CONCATENATE("R",'Mapa final'!$A$17),"")</f>
        <v/>
      </c>
      <c r="S14" s="360"/>
      <c r="T14" s="360" t="str">
        <f ca="1">IF(AND('Mapa final'!$K$23="Alta",'Mapa final'!$O$23="Menor"),CONCATENATE("R",'Mapa final'!$A$23),"")</f>
        <v/>
      </c>
      <c r="U14" s="361"/>
      <c r="V14" s="334" t="str">
        <f ca="1">IF(AND('Mapa final'!$K$11="Alta",'Mapa final'!$O$11="Moderado"),CONCATENATE("R",'Mapa final'!$A$11),"")</f>
        <v/>
      </c>
      <c r="W14" s="335"/>
      <c r="X14" s="335" t="str">
        <f ca="1">IF(AND('Mapa final'!$K$17="Alta",'Mapa final'!$O$17="Moderado"),CONCATENATE("R",'Mapa final'!$A$17),"")</f>
        <v/>
      </c>
      <c r="Y14" s="335"/>
      <c r="Z14" s="335" t="str">
        <f ca="1">IF(AND('Mapa final'!$K$23="Alta",'Mapa final'!$O$23="Moderado"),CONCATENATE("R",'Mapa final'!$A$23),"")</f>
        <v/>
      </c>
      <c r="AA14" s="337"/>
      <c r="AB14" s="334" t="str">
        <f ca="1">IF(AND('Mapa final'!$K$11="Alta",'Mapa final'!$O$11="Mayor"),CONCATENATE("R",'Mapa final'!$A$11),"")</f>
        <v/>
      </c>
      <c r="AC14" s="335"/>
      <c r="AD14" s="335" t="str">
        <f ca="1">IF(AND('Mapa final'!$K$17="Alta",'Mapa final'!$O$17="Mayor"),CONCATENATE("R",'Mapa final'!$A$17),"")</f>
        <v/>
      </c>
      <c r="AE14" s="335"/>
      <c r="AF14" s="335" t="str">
        <f ca="1">IF(AND('Mapa final'!$K$23="Alta",'Mapa final'!$O$23="Mayor"),CONCATENATE("R",'Mapa final'!$A$23),"")</f>
        <v/>
      </c>
      <c r="AG14" s="337"/>
      <c r="AH14" s="350" t="str">
        <f ca="1">IF(AND('Mapa final'!$K$11="Alta",'Mapa final'!$O$11="Catastrófico"),CONCATENATE("R",'Mapa final'!$A$11),"")</f>
        <v/>
      </c>
      <c r="AI14" s="351"/>
      <c r="AJ14" s="351" t="str">
        <f ca="1">IF(AND('Mapa final'!$K$17="Alta",'Mapa final'!$O$17="Catastrófico"),CONCATENATE("R",'Mapa final'!$A$17),"")</f>
        <v/>
      </c>
      <c r="AK14" s="351"/>
      <c r="AL14" s="351" t="str">
        <f ca="1">IF(AND('Mapa final'!$K$23="Alta",'Mapa final'!$O$23="Catastrófico"),CONCATENATE("R",'Mapa final'!$A$23),"")</f>
        <v/>
      </c>
      <c r="AM14" s="352"/>
      <c r="AN14" s="83"/>
      <c r="AO14" s="295" t="s">
        <v>77</v>
      </c>
      <c r="AP14" s="296"/>
      <c r="AQ14" s="296"/>
      <c r="AR14" s="296"/>
      <c r="AS14" s="296"/>
      <c r="AT14" s="29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4"/>
      <c r="C15" s="284"/>
      <c r="D15" s="285"/>
      <c r="E15" s="325"/>
      <c r="F15" s="326"/>
      <c r="G15" s="326"/>
      <c r="H15" s="326"/>
      <c r="I15" s="339"/>
      <c r="J15" s="353"/>
      <c r="K15" s="354"/>
      <c r="L15" s="354"/>
      <c r="M15" s="354"/>
      <c r="N15" s="354"/>
      <c r="O15" s="355"/>
      <c r="P15" s="353"/>
      <c r="Q15" s="354"/>
      <c r="R15" s="354"/>
      <c r="S15" s="354"/>
      <c r="T15" s="354"/>
      <c r="U15" s="355"/>
      <c r="V15" s="336"/>
      <c r="W15" s="333"/>
      <c r="X15" s="333"/>
      <c r="Y15" s="333"/>
      <c r="Z15" s="333"/>
      <c r="AA15" s="332"/>
      <c r="AB15" s="336"/>
      <c r="AC15" s="333"/>
      <c r="AD15" s="333"/>
      <c r="AE15" s="333"/>
      <c r="AF15" s="333"/>
      <c r="AG15" s="332"/>
      <c r="AH15" s="344"/>
      <c r="AI15" s="345"/>
      <c r="AJ15" s="345"/>
      <c r="AK15" s="345"/>
      <c r="AL15" s="345"/>
      <c r="AM15" s="346"/>
      <c r="AN15" s="83"/>
      <c r="AO15" s="298"/>
      <c r="AP15" s="299"/>
      <c r="AQ15" s="299"/>
      <c r="AR15" s="299"/>
      <c r="AS15" s="299"/>
      <c r="AT15" s="30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4"/>
      <c r="C16" s="284"/>
      <c r="D16" s="285"/>
      <c r="E16" s="325"/>
      <c r="F16" s="326"/>
      <c r="G16" s="326"/>
      <c r="H16" s="326"/>
      <c r="I16" s="339"/>
      <c r="J16" s="353" t="str">
        <f ca="1">IF(AND('Mapa final'!$K$29="Alta",'Mapa final'!$O$29="Leve"),CONCATENATE("R",'Mapa final'!$A$29),"")</f>
        <v/>
      </c>
      <c r="K16" s="354"/>
      <c r="L16" s="354" t="str">
        <f ca="1">IF(AND('Mapa final'!$K$41="Alta",'Mapa final'!$O$41="Leve"),CONCATENATE("R",'Mapa final'!$A$41),"")</f>
        <v/>
      </c>
      <c r="M16" s="354"/>
      <c r="N16" s="354" t="e">
        <f>IF(AND('Mapa final'!#REF!="Alta",'Mapa final'!#REF!="Leve"),CONCATENATE("R",'Mapa final'!#REF!),"")</f>
        <v>#REF!</v>
      </c>
      <c r="O16" s="355"/>
      <c r="P16" s="353" t="str">
        <f ca="1">IF(AND('Mapa final'!$K$29="Alta",'Mapa final'!$O$29="Menor"),CONCATENATE("R",'Mapa final'!$A$29),"")</f>
        <v/>
      </c>
      <c r="Q16" s="354"/>
      <c r="R16" s="354" t="str">
        <f ca="1">IF(AND('Mapa final'!$K$41="Alta",'Mapa final'!$O$41="Menor"),CONCATENATE("R",'Mapa final'!$A$41),"")</f>
        <v/>
      </c>
      <c r="S16" s="354"/>
      <c r="T16" s="354" t="e">
        <f>IF(AND('Mapa final'!#REF!="Alta",'Mapa final'!#REF!="Menor"),CONCATENATE("R",'Mapa final'!#REF!),"")</f>
        <v>#REF!</v>
      </c>
      <c r="U16" s="355"/>
      <c r="V16" s="336" t="str">
        <f ca="1">IF(AND('Mapa final'!$K$29="Alta",'Mapa final'!$O$29="Moderado"),CONCATENATE("R",'Mapa final'!$A$29),"")</f>
        <v/>
      </c>
      <c r="W16" s="333"/>
      <c r="X16" s="331" t="str">
        <f ca="1">IF(AND('Mapa final'!$K$41="Alta",'Mapa final'!$O$41="Moderado"),CONCATENATE("R",'Mapa final'!$A$41),"")</f>
        <v/>
      </c>
      <c r="Y16" s="331"/>
      <c r="Z16" s="331" t="e">
        <f>IF(AND('Mapa final'!#REF!="Alta",'Mapa final'!#REF!="Moderado"),CONCATENATE("R",'Mapa final'!#REF!),"")</f>
        <v>#REF!</v>
      </c>
      <c r="AA16" s="332"/>
      <c r="AB16" s="336" t="str">
        <f ca="1">IF(AND('Mapa final'!$K$29="Alta",'Mapa final'!$O$29="Mayor"),CONCATENATE("R",'Mapa final'!$A$29),"")</f>
        <v/>
      </c>
      <c r="AC16" s="333"/>
      <c r="AD16" s="331" t="str">
        <f ca="1">IF(AND('Mapa final'!$K$41="Alta",'Mapa final'!$O$41="Mayor"),CONCATENATE("R",'Mapa final'!$A$41),"")</f>
        <v/>
      </c>
      <c r="AE16" s="331"/>
      <c r="AF16" s="331" t="e">
        <f>IF(AND('Mapa final'!#REF!="Alta",'Mapa final'!#REF!="Mayor"),CONCATENATE("R",'Mapa final'!#REF!),"")</f>
        <v>#REF!</v>
      </c>
      <c r="AG16" s="332"/>
      <c r="AH16" s="344" t="str">
        <f ca="1">IF(AND('Mapa final'!$K$29="Alta",'Mapa final'!$O$29="Catastrófico"),CONCATENATE("R",'Mapa final'!$A$29),"")</f>
        <v/>
      </c>
      <c r="AI16" s="345"/>
      <c r="AJ16" s="345" t="str">
        <f ca="1">IF(AND('Mapa final'!$K$41="Alta",'Mapa final'!$O$41="Catastrófico"),CONCATENATE("R",'Mapa final'!$A$41),"")</f>
        <v/>
      </c>
      <c r="AK16" s="345"/>
      <c r="AL16" s="345" t="e">
        <f>IF(AND('Mapa final'!#REF!="Alta",'Mapa final'!#REF!="Catastrófico"),CONCATENATE("R",'Mapa final'!#REF!),"")</f>
        <v>#REF!</v>
      </c>
      <c r="AM16" s="346"/>
      <c r="AN16" s="83"/>
      <c r="AO16" s="298"/>
      <c r="AP16" s="299"/>
      <c r="AQ16" s="299"/>
      <c r="AR16" s="299"/>
      <c r="AS16" s="299"/>
      <c r="AT16" s="30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4"/>
      <c r="C17" s="284"/>
      <c r="D17" s="285"/>
      <c r="E17" s="325"/>
      <c r="F17" s="326"/>
      <c r="G17" s="326"/>
      <c r="H17" s="326"/>
      <c r="I17" s="339"/>
      <c r="J17" s="353"/>
      <c r="K17" s="354"/>
      <c r="L17" s="354"/>
      <c r="M17" s="354"/>
      <c r="N17" s="354"/>
      <c r="O17" s="355"/>
      <c r="P17" s="353"/>
      <c r="Q17" s="354"/>
      <c r="R17" s="354"/>
      <c r="S17" s="354"/>
      <c r="T17" s="354"/>
      <c r="U17" s="355"/>
      <c r="V17" s="336"/>
      <c r="W17" s="333"/>
      <c r="X17" s="331"/>
      <c r="Y17" s="331"/>
      <c r="Z17" s="331"/>
      <c r="AA17" s="332"/>
      <c r="AB17" s="336"/>
      <c r="AC17" s="333"/>
      <c r="AD17" s="331"/>
      <c r="AE17" s="331"/>
      <c r="AF17" s="331"/>
      <c r="AG17" s="332"/>
      <c r="AH17" s="344"/>
      <c r="AI17" s="345"/>
      <c r="AJ17" s="345"/>
      <c r="AK17" s="345"/>
      <c r="AL17" s="345"/>
      <c r="AM17" s="346"/>
      <c r="AN17" s="83"/>
      <c r="AO17" s="298"/>
      <c r="AP17" s="299"/>
      <c r="AQ17" s="299"/>
      <c r="AR17" s="299"/>
      <c r="AS17" s="299"/>
      <c r="AT17" s="30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4"/>
      <c r="C18" s="284"/>
      <c r="D18" s="285"/>
      <c r="E18" s="325"/>
      <c r="F18" s="326"/>
      <c r="G18" s="326"/>
      <c r="H18" s="326"/>
      <c r="I18" s="339"/>
      <c r="J18" s="353" t="e">
        <f>IF(AND('Mapa final'!#REF!="Alta",'Mapa final'!#REF!="Leve"),CONCATENATE("R",'Mapa final'!#REF!),"")</f>
        <v>#REF!</v>
      </c>
      <c r="K18" s="354"/>
      <c r="L18" s="354" t="str">
        <f ca="1">IF(AND('Mapa final'!$K$47="Alta",'Mapa final'!$O$47="Leve"),CONCATENATE("R",'Mapa final'!$A$47),"")</f>
        <v/>
      </c>
      <c r="M18" s="354"/>
      <c r="N18" s="354" t="str">
        <f ca="1">IF(AND('Mapa final'!$K$59="Alta",'Mapa final'!$O$59="Leve"),CONCATENATE("R",'Mapa final'!$A$59),"")</f>
        <v/>
      </c>
      <c r="O18" s="355"/>
      <c r="P18" s="353" t="e">
        <f>IF(AND('Mapa final'!#REF!="Alta",'Mapa final'!#REF!="Menor"),CONCATENATE("R",'Mapa final'!#REF!),"")</f>
        <v>#REF!</v>
      </c>
      <c r="Q18" s="354"/>
      <c r="R18" s="354" t="str">
        <f ca="1">IF(AND('Mapa final'!$K$47="Alta",'Mapa final'!$O$47="Menor"),CONCATENATE("R",'Mapa final'!$A$47),"")</f>
        <v/>
      </c>
      <c r="S18" s="354"/>
      <c r="T18" s="354" t="str">
        <f ca="1">IF(AND('Mapa final'!$K$59="Alta",'Mapa final'!$O$59="Menor"),CONCATENATE("R",'Mapa final'!$A$59),"")</f>
        <v/>
      </c>
      <c r="U18" s="355"/>
      <c r="V18" s="336" t="e">
        <f>IF(AND('Mapa final'!#REF!="Alta",'Mapa final'!#REF!="Moderado"),CONCATENATE("R",'Mapa final'!#REF!),"")</f>
        <v>#REF!</v>
      </c>
      <c r="W18" s="333"/>
      <c r="X18" s="331" t="str">
        <f ca="1">IF(AND('Mapa final'!$K$47="Alta",'Mapa final'!$O$47="Moderado"),CONCATENATE("R",'Mapa final'!$A$47),"")</f>
        <v/>
      </c>
      <c r="Y18" s="331"/>
      <c r="Z18" s="331" t="str">
        <f ca="1">IF(AND('Mapa final'!$K$59="Alta",'Mapa final'!$O$59="Moderado"),CONCATENATE("R",'Mapa final'!$A$59),"")</f>
        <v/>
      </c>
      <c r="AA18" s="332"/>
      <c r="AB18" s="336" t="e">
        <f>IF(AND('Mapa final'!#REF!="Alta",'Mapa final'!#REF!="Mayor"),CONCATENATE("R",'Mapa final'!#REF!),"")</f>
        <v>#REF!</v>
      </c>
      <c r="AC18" s="333"/>
      <c r="AD18" s="331" t="str">
        <f ca="1">IF(AND('Mapa final'!$K$47="Alta",'Mapa final'!$O$47="Mayor"),CONCATENATE("R",'Mapa final'!$A$47),"")</f>
        <v/>
      </c>
      <c r="AE18" s="331"/>
      <c r="AF18" s="331" t="str">
        <f ca="1">IF(AND('Mapa final'!$K$59="Alta",'Mapa final'!$O$59="Mayor"),CONCATENATE("R",'Mapa final'!$A$59),"")</f>
        <v/>
      </c>
      <c r="AG18" s="332"/>
      <c r="AH18" s="344" t="e">
        <f>IF(AND('Mapa final'!#REF!="Alta",'Mapa final'!#REF!="Catastrófico"),CONCATENATE("R",'Mapa final'!#REF!),"")</f>
        <v>#REF!</v>
      </c>
      <c r="AI18" s="345"/>
      <c r="AJ18" s="345" t="str">
        <f ca="1">IF(AND('Mapa final'!$K$47="Alta",'Mapa final'!$O$47="Catastrófico"),CONCATENATE("R",'Mapa final'!$A$47),"")</f>
        <v/>
      </c>
      <c r="AK18" s="345"/>
      <c r="AL18" s="345" t="str">
        <f ca="1">IF(AND('Mapa final'!$K$59="Alta",'Mapa final'!$O$59="Catastrófico"),CONCATENATE("R",'Mapa final'!$A$59),"")</f>
        <v/>
      </c>
      <c r="AM18" s="346"/>
      <c r="AN18" s="83"/>
      <c r="AO18" s="298"/>
      <c r="AP18" s="299"/>
      <c r="AQ18" s="299"/>
      <c r="AR18" s="299"/>
      <c r="AS18" s="299"/>
      <c r="AT18" s="30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4"/>
      <c r="C19" s="284"/>
      <c r="D19" s="285"/>
      <c r="E19" s="325"/>
      <c r="F19" s="326"/>
      <c r="G19" s="326"/>
      <c r="H19" s="326"/>
      <c r="I19" s="339"/>
      <c r="J19" s="353"/>
      <c r="K19" s="354"/>
      <c r="L19" s="354"/>
      <c r="M19" s="354"/>
      <c r="N19" s="354"/>
      <c r="O19" s="355"/>
      <c r="P19" s="353"/>
      <c r="Q19" s="354"/>
      <c r="R19" s="354"/>
      <c r="S19" s="354"/>
      <c r="T19" s="354"/>
      <c r="U19" s="355"/>
      <c r="V19" s="336"/>
      <c r="W19" s="333"/>
      <c r="X19" s="331"/>
      <c r="Y19" s="331"/>
      <c r="Z19" s="331"/>
      <c r="AA19" s="332"/>
      <c r="AB19" s="336"/>
      <c r="AC19" s="333"/>
      <c r="AD19" s="331"/>
      <c r="AE19" s="331"/>
      <c r="AF19" s="331"/>
      <c r="AG19" s="332"/>
      <c r="AH19" s="344"/>
      <c r="AI19" s="345"/>
      <c r="AJ19" s="345"/>
      <c r="AK19" s="345"/>
      <c r="AL19" s="345"/>
      <c r="AM19" s="346"/>
      <c r="AN19" s="83"/>
      <c r="AO19" s="298"/>
      <c r="AP19" s="299"/>
      <c r="AQ19" s="299"/>
      <c r="AR19" s="299"/>
      <c r="AS19" s="299"/>
      <c r="AT19" s="30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4"/>
      <c r="C20" s="284"/>
      <c r="D20" s="285"/>
      <c r="E20" s="325"/>
      <c r="F20" s="326"/>
      <c r="G20" s="326"/>
      <c r="H20" s="326"/>
      <c r="I20" s="339"/>
      <c r="J20" s="353" t="str">
        <f ca="1">IF(AND('Mapa final'!$K$71="Alta",'Mapa final'!$O$71="Leve"),CONCATENATE("R",'Mapa final'!$A$71),"")</f>
        <v/>
      </c>
      <c r="K20" s="354"/>
      <c r="L20" s="354" t="str">
        <f>IF(AND('Mapa final'!$K$77="Alta",'Mapa final'!$O$77="Leve"),CONCATENATE("R",'Mapa final'!$A$77),"")</f>
        <v/>
      </c>
      <c r="M20" s="354"/>
      <c r="N20" s="354" t="str">
        <f>IF(AND('Mapa final'!$K$83="Alta",'Mapa final'!$O$83="Leve"),CONCATENATE("R",'Mapa final'!$A$83),"")</f>
        <v/>
      </c>
      <c r="O20" s="355"/>
      <c r="P20" s="353" t="str">
        <f ca="1">IF(AND('Mapa final'!$K$71="Alta",'Mapa final'!$O$71="Menor"),CONCATENATE("R",'Mapa final'!$A$71),"")</f>
        <v/>
      </c>
      <c r="Q20" s="354"/>
      <c r="R20" s="354" t="str">
        <f>IF(AND('Mapa final'!$K$77="Alta",'Mapa final'!$O$77="Menor"),CONCATENATE("R",'Mapa final'!$A$77),"")</f>
        <v/>
      </c>
      <c r="S20" s="354"/>
      <c r="T20" s="354" t="str">
        <f>IF(AND('Mapa final'!$K$83="Alta",'Mapa final'!$O$83="Menor"),CONCATENATE("R",'Mapa final'!$A$83),"")</f>
        <v/>
      </c>
      <c r="U20" s="355"/>
      <c r="V20" s="336" t="str">
        <f ca="1">IF(AND('Mapa final'!$K$71="Alta",'Mapa final'!$O$71="Moderado"),CONCATENATE("R",'Mapa final'!$A$71),"")</f>
        <v/>
      </c>
      <c r="W20" s="333"/>
      <c r="X20" s="331" t="str">
        <f>IF(AND('Mapa final'!$K$77="Alta",'Mapa final'!$O$77="Moderado"),CONCATENATE("R",'Mapa final'!$A$77),"")</f>
        <v/>
      </c>
      <c r="Y20" s="331"/>
      <c r="Z20" s="331" t="str">
        <f>IF(AND('Mapa final'!$K$83="Alta",'Mapa final'!$O$83="Moderado"),CONCATENATE("R",'Mapa final'!$A$83),"")</f>
        <v/>
      </c>
      <c r="AA20" s="332"/>
      <c r="AB20" s="336" t="str">
        <f ca="1">IF(AND('Mapa final'!$K$71="Alta",'Mapa final'!$O$71="Mayor"),CONCATENATE("R",'Mapa final'!$A$71),"")</f>
        <v/>
      </c>
      <c r="AC20" s="333"/>
      <c r="AD20" s="331" t="str">
        <f>IF(AND('Mapa final'!$K$77="Alta",'Mapa final'!$O$77="Mayor"),CONCATENATE("R",'Mapa final'!$A$77),"")</f>
        <v/>
      </c>
      <c r="AE20" s="331"/>
      <c r="AF20" s="331" t="str">
        <f>IF(AND('Mapa final'!$K$83="Alta",'Mapa final'!$O$83="Mayor"),CONCATENATE("R",'Mapa final'!$A$83),"")</f>
        <v/>
      </c>
      <c r="AG20" s="332"/>
      <c r="AH20" s="344" t="str">
        <f ca="1">IF(AND('Mapa final'!$K$71="Alta",'Mapa final'!$O$71="Catastrófico"),CONCATENATE("R",'Mapa final'!$A$71),"")</f>
        <v/>
      </c>
      <c r="AI20" s="345"/>
      <c r="AJ20" s="345" t="str">
        <f>IF(AND('Mapa final'!$K$77="Alta",'Mapa final'!$O$77="Catastrófico"),CONCATENATE("R",'Mapa final'!$A$77),"")</f>
        <v/>
      </c>
      <c r="AK20" s="345"/>
      <c r="AL20" s="345" t="str">
        <f>IF(AND('Mapa final'!$K$83="Alta",'Mapa final'!$O$83="Catastrófico"),CONCATENATE("R",'Mapa final'!$A$83),"")</f>
        <v/>
      </c>
      <c r="AM20" s="346"/>
      <c r="AN20" s="83"/>
      <c r="AO20" s="298"/>
      <c r="AP20" s="299"/>
      <c r="AQ20" s="299"/>
      <c r="AR20" s="299"/>
      <c r="AS20" s="299"/>
      <c r="AT20" s="30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4"/>
      <c r="C21" s="284"/>
      <c r="D21" s="285"/>
      <c r="E21" s="328"/>
      <c r="F21" s="329"/>
      <c r="G21" s="329"/>
      <c r="H21" s="329"/>
      <c r="I21" s="329"/>
      <c r="J21" s="356"/>
      <c r="K21" s="357"/>
      <c r="L21" s="357"/>
      <c r="M21" s="357"/>
      <c r="N21" s="357"/>
      <c r="O21" s="358"/>
      <c r="P21" s="356"/>
      <c r="Q21" s="357"/>
      <c r="R21" s="357"/>
      <c r="S21" s="357"/>
      <c r="T21" s="357"/>
      <c r="U21" s="358"/>
      <c r="V21" s="341"/>
      <c r="W21" s="342"/>
      <c r="X21" s="342"/>
      <c r="Y21" s="342"/>
      <c r="Z21" s="342"/>
      <c r="AA21" s="343"/>
      <c r="AB21" s="341"/>
      <c r="AC21" s="342"/>
      <c r="AD21" s="342"/>
      <c r="AE21" s="342"/>
      <c r="AF21" s="342"/>
      <c r="AG21" s="343"/>
      <c r="AH21" s="347"/>
      <c r="AI21" s="348"/>
      <c r="AJ21" s="348"/>
      <c r="AK21" s="348"/>
      <c r="AL21" s="348"/>
      <c r="AM21" s="349"/>
      <c r="AN21" s="83"/>
      <c r="AO21" s="301"/>
      <c r="AP21" s="302"/>
      <c r="AQ21" s="302"/>
      <c r="AR21" s="302"/>
      <c r="AS21" s="302"/>
      <c r="AT21" s="30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4"/>
      <c r="C22" s="284"/>
      <c r="D22" s="285"/>
      <c r="E22" s="322" t="s">
        <v>109</v>
      </c>
      <c r="F22" s="323"/>
      <c r="G22" s="323"/>
      <c r="H22" s="323"/>
      <c r="I22" s="324"/>
      <c r="J22" s="359" t="str">
        <f ca="1">IF(AND('Mapa final'!$K$11="Media",'Mapa final'!$O$11="Leve"),CONCATENATE("R",'Mapa final'!$A$11),"")</f>
        <v/>
      </c>
      <c r="K22" s="360"/>
      <c r="L22" s="360" t="str">
        <f ca="1">IF(AND('Mapa final'!$K$17="Media",'Mapa final'!$O$17="Leve"),CONCATENATE("R",'Mapa final'!$A$17),"")</f>
        <v/>
      </c>
      <c r="M22" s="360"/>
      <c r="N22" s="360" t="str">
        <f ca="1">IF(AND('Mapa final'!$K$23="Media",'Mapa final'!$O$23="Leve"),CONCATENATE("R",'Mapa final'!$A$23),"")</f>
        <v/>
      </c>
      <c r="O22" s="361"/>
      <c r="P22" s="359" t="str">
        <f ca="1">IF(AND('Mapa final'!$K$11="Media",'Mapa final'!$O$11="Menor"),CONCATENATE("R",'Mapa final'!$A$11),"")</f>
        <v/>
      </c>
      <c r="Q22" s="360"/>
      <c r="R22" s="360" t="str">
        <f ca="1">IF(AND('Mapa final'!$K$17="Media",'Mapa final'!$O$17="Menor"),CONCATENATE("R",'Mapa final'!$A$17),"")</f>
        <v/>
      </c>
      <c r="S22" s="360"/>
      <c r="T22" s="360" t="str">
        <f ca="1">IF(AND('Mapa final'!$K$23="Media",'Mapa final'!$O$23="Menor"),CONCATENATE("R",'Mapa final'!$A$23),"")</f>
        <v/>
      </c>
      <c r="U22" s="361"/>
      <c r="V22" s="359" t="str">
        <f ca="1">IF(AND('Mapa final'!$K$11="Media",'Mapa final'!$O$11="Moderado"),CONCATENATE("R",'Mapa final'!$A$11),"")</f>
        <v/>
      </c>
      <c r="W22" s="360"/>
      <c r="X22" s="360" t="str">
        <f ca="1">IF(AND('Mapa final'!$K$17="Media",'Mapa final'!$O$17="Moderado"),CONCATENATE("R",'Mapa final'!$A$17),"")</f>
        <v/>
      </c>
      <c r="Y22" s="360"/>
      <c r="Z22" s="360" t="str">
        <f ca="1">IF(AND('Mapa final'!$K$23="Media",'Mapa final'!$O$23="Moderado"),CONCATENATE("R",'Mapa final'!$A$23),"")</f>
        <v/>
      </c>
      <c r="AA22" s="361"/>
      <c r="AB22" s="334" t="str">
        <f ca="1">IF(AND('Mapa final'!$K$11="Media",'Mapa final'!$O$11="Mayor"),CONCATENATE("R",'Mapa final'!$A$11),"")</f>
        <v/>
      </c>
      <c r="AC22" s="335"/>
      <c r="AD22" s="335" t="str">
        <f ca="1">IF(AND('Mapa final'!$K$17="Media",'Mapa final'!$O$17="Mayor"),CONCATENATE("R",'Mapa final'!$A$17),"")</f>
        <v/>
      </c>
      <c r="AE22" s="335"/>
      <c r="AF22" s="335" t="str">
        <f ca="1">IF(AND('Mapa final'!$K$23="Media",'Mapa final'!$O$23="Mayor"),CONCATENATE("R",'Mapa final'!$A$23),"")</f>
        <v/>
      </c>
      <c r="AG22" s="337"/>
      <c r="AH22" s="350" t="str">
        <f ca="1">IF(AND('Mapa final'!$K$11="Media",'Mapa final'!$O$11="Catastrófico"),CONCATENATE("R",'Mapa final'!$A$11),"")</f>
        <v/>
      </c>
      <c r="AI22" s="351"/>
      <c r="AJ22" s="351" t="str">
        <f ca="1">IF(AND('Mapa final'!$K$17="Media",'Mapa final'!$O$17="Catastrófico"),CONCATENATE("R",'Mapa final'!$A$17),"")</f>
        <v/>
      </c>
      <c r="AK22" s="351"/>
      <c r="AL22" s="351" t="str">
        <f ca="1">IF(AND('Mapa final'!$K$23="Media",'Mapa final'!$O$23="Catastrófico"),CONCATENATE("R",'Mapa final'!$A$23),"")</f>
        <v/>
      </c>
      <c r="AM22" s="352"/>
      <c r="AN22" s="83"/>
      <c r="AO22" s="304" t="s">
        <v>78</v>
      </c>
      <c r="AP22" s="305"/>
      <c r="AQ22" s="305"/>
      <c r="AR22" s="305"/>
      <c r="AS22" s="305"/>
      <c r="AT22" s="30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4"/>
      <c r="C23" s="284"/>
      <c r="D23" s="285"/>
      <c r="E23" s="325"/>
      <c r="F23" s="326"/>
      <c r="G23" s="326"/>
      <c r="H23" s="326"/>
      <c r="I23" s="327"/>
      <c r="J23" s="353"/>
      <c r="K23" s="354"/>
      <c r="L23" s="354"/>
      <c r="M23" s="354"/>
      <c r="N23" s="354"/>
      <c r="O23" s="355"/>
      <c r="P23" s="353"/>
      <c r="Q23" s="354"/>
      <c r="R23" s="354"/>
      <c r="S23" s="354"/>
      <c r="T23" s="354"/>
      <c r="U23" s="355"/>
      <c r="V23" s="353"/>
      <c r="W23" s="354"/>
      <c r="X23" s="354"/>
      <c r="Y23" s="354"/>
      <c r="Z23" s="354"/>
      <c r="AA23" s="355"/>
      <c r="AB23" s="336"/>
      <c r="AC23" s="333"/>
      <c r="AD23" s="333"/>
      <c r="AE23" s="333"/>
      <c r="AF23" s="333"/>
      <c r="AG23" s="332"/>
      <c r="AH23" s="344"/>
      <c r="AI23" s="345"/>
      <c r="AJ23" s="345"/>
      <c r="AK23" s="345"/>
      <c r="AL23" s="345"/>
      <c r="AM23" s="346"/>
      <c r="AN23" s="83"/>
      <c r="AO23" s="307"/>
      <c r="AP23" s="308"/>
      <c r="AQ23" s="308"/>
      <c r="AR23" s="308"/>
      <c r="AS23" s="308"/>
      <c r="AT23" s="30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4"/>
      <c r="C24" s="284"/>
      <c r="D24" s="285"/>
      <c r="E24" s="325"/>
      <c r="F24" s="326"/>
      <c r="G24" s="326"/>
      <c r="H24" s="326"/>
      <c r="I24" s="327"/>
      <c r="J24" s="353" t="str">
        <f ca="1">IF(AND('Mapa final'!$K$29="Media",'Mapa final'!$O$29="Leve"),CONCATENATE("R",'Mapa final'!$A$29),"")</f>
        <v/>
      </c>
      <c r="K24" s="354"/>
      <c r="L24" s="354" t="str">
        <f ca="1">IF(AND('Mapa final'!$K$41="Media",'Mapa final'!$O$41="Leve"),CONCATENATE("R",'Mapa final'!$A$41),"")</f>
        <v/>
      </c>
      <c r="M24" s="354"/>
      <c r="N24" s="354" t="e">
        <f>IF(AND('Mapa final'!#REF!="Media",'Mapa final'!#REF!="Leve"),CONCATENATE("R",'Mapa final'!#REF!),"")</f>
        <v>#REF!</v>
      </c>
      <c r="O24" s="355"/>
      <c r="P24" s="353" t="str">
        <f ca="1">IF(AND('Mapa final'!$K$29="Media",'Mapa final'!$O$29="Menor"),CONCATENATE("R",'Mapa final'!$A$29),"")</f>
        <v/>
      </c>
      <c r="Q24" s="354"/>
      <c r="R24" s="354" t="str">
        <f ca="1">IF(AND('Mapa final'!$K$41="Media",'Mapa final'!$O$41="Menor"),CONCATENATE("R",'Mapa final'!$A$41),"")</f>
        <v/>
      </c>
      <c r="S24" s="354"/>
      <c r="T24" s="354" t="e">
        <f>IF(AND('Mapa final'!#REF!="Media",'Mapa final'!#REF!="Menor"),CONCATENATE("R",'Mapa final'!#REF!),"")</f>
        <v>#REF!</v>
      </c>
      <c r="U24" s="355"/>
      <c r="V24" s="353" t="str">
        <f ca="1">IF(AND('Mapa final'!$K$29="Media",'Mapa final'!$O$29="Moderado"),CONCATENATE("R",'Mapa final'!$A$29),"")</f>
        <v/>
      </c>
      <c r="W24" s="354"/>
      <c r="X24" s="354" t="str">
        <f ca="1">IF(AND('Mapa final'!$K$41="Media",'Mapa final'!$O$41="Moderado"),CONCATENATE("R",'Mapa final'!$A$41),"")</f>
        <v>R6</v>
      </c>
      <c r="Y24" s="354"/>
      <c r="Z24" s="354" t="e">
        <f>IF(AND('Mapa final'!#REF!="Media",'Mapa final'!#REF!="Moderado"),CONCATENATE("R",'Mapa final'!#REF!),"")</f>
        <v>#REF!</v>
      </c>
      <c r="AA24" s="355"/>
      <c r="AB24" s="336" t="str">
        <f ca="1">IF(AND('Mapa final'!$K$29="Media",'Mapa final'!$O$29="Mayor"),CONCATENATE("R",'Mapa final'!$A$29),"")</f>
        <v/>
      </c>
      <c r="AC24" s="333"/>
      <c r="AD24" s="331" t="str">
        <f ca="1">IF(AND('Mapa final'!$K$41="Media",'Mapa final'!$O$41="Mayor"),CONCATENATE("R",'Mapa final'!$A$41),"")</f>
        <v/>
      </c>
      <c r="AE24" s="331"/>
      <c r="AF24" s="331" t="e">
        <f>IF(AND('Mapa final'!#REF!="Media",'Mapa final'!#REF!="Mayor"),CONCATENATE("R",'Mapa final'!#REF!),"")</f>
        <v>#REF!</v>
      </c>
      <c r="AG24" s="332"/>
      <c r="AH24" s="344" t="str">
        <f ca="1">IF(AND('Mapa final'!$K$29="Media",'Mapa final'!$O$29="Catastrófico"),CONCATENATE("R",'Mapa final'!$A$29),"")</f>
        <v/>
      </c>
      <c r="AI24" s="345"/>
      <c r="AJ24" s="345" t="str">
        <f ca="1">IF(AND('Mapa final'!$K$41="Media",'Mapa final'!$O$41="Catastrófico"),CONCATENATE("R",'Mapa final'!$A$41),"")</f>
        <v/>
      </c>
      <c r="AK24" s="345"/>
      <c r="AL24" s="345" t="e">
        <f>IF(AND('Mapa final'!#REF!="Media",'Mapa final'!#REF!="Catastrófico"),CONCATENATE("R",'Mapa final'!#REF!),"")</f>
        <v>#REF!</v>
      </c>
      <c r="AM24" s="346"/>
      <c r="AN24" s="83"/>
      <c r="AO24" s="307"/>
      <c r="AP24" s="308"/>
      <c r="AQ24" s="308"/>
      <c r="AR24" s="308"/>
      <c r="AS24" s="308"/>
      <c r="AT24" s="30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4"/>
      <c r="C25" s="284"/>
      <c r="D25" s="285"/>
      <c r="E25" s="325"/>
      <c r="F25" s="326"/>
      <c r="G25" s="326"/>
      <c r="H25" s="326"/>
      <c r="I25" s="327"/>
      <c r="J25" s="353"/>
      <c r="K25" s="354"/>
      <c r="L25" s="354"/>
      <c r="M25" s="354"/>
      <c r="N25" s="354"/>
      <c r="O25" s="355"/>
      <c r="P25" s="353"/>
      <c r="Q25" s="354"/>
      <c r="R25" s="354"/>
      <c r="S25" s="354"/>
      <c r="T25" s="354"/>
      <c r="U25" s="355"/>
      <c r="V25" s="353"/>
      <c r="W25" s="354"/>
      <c r="X25" s="354"/>
      <c r="Y25" s="354"/>
      <c r="Z25" s="354"/>
      <c r="AA25" s="355"/>
      <c r="AB25" s="336"/>
      <c r="AC25" s="333"/>
      <c r="AD25" s="331"/>
      <c r="AE25" s="331"/>
      <c r="AF25" s="331"/>
      <c r="AG25" s="332"/>
      <c r="AH25" s="344"/>
      <c r="AI25" s="345"/>
      <c r="AJ25" s="345"/>
      <c r="AK25" s="345"/>
      <c r="AL25" s="345"/>
      <c r="AM25" s="346"/>
      <c r="AN25" s="83"/>
      <c r="AO25" s="307"/>
      <c r="AP25" s="308"/>
      <c r="AQ25" s="308"/>
      <c r="AR25" s="308"/>
      <c r="AS25" s="308"/>
      <c r="AT25" s="30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4"/>
      <c r="C26" s="284"/>
      <c r="D26" s="285"/>
      <c r="E26" s="325"/>
      <c r="F26" s="326"/>
      <c r="G26" s="326"/>
      <c r="H26" s="326"/>
      <c r="I26" s="327"/>
      <c r="J26" s="353" t="e">
        <f>IF(AND('Mapa final'!#REF!="Media",'Mapa final'!#REF!="Leve"),CONCATENATE("R",'Mapa final'!#REF!),"")</f>
        <v>#REF!</v>
      </c>
      <c r="K26" s="354"/>
      <c r="L26" s="354" t="str">
        <f ca="1">IF(AND('Mapa final'!$K$47="Media",'Mapa final'!$O$47="Leve"),CONCATENATE("R",'Mapa final'!$A$47),"")</f>
        <v/>
      </c>
      <c r="M26" s="354"/>
      <c r="N26" s="354" t="str">
        <f ca="1">IF(AND('Mapa final'!$K$59="Media",'Mapa final'!$O$59="Leve"),CONCATENATE("R",'Mapa final'!$A$59),"")</f>
        <v/>
      </c>
      <c r="O26" s="355"/>
      <c r="P26" s="353" t="e">
        <f>IF(AND('Mapa final'!#REF!="Media",'Mapa final'!#REF!="Menor"),CONCATENATE("R",'Mapa final'!#REF!),"")</f>
        <v>#REF!</v>
      </c>
      <c r="Q26" s="354"/>
      <c r="R26" s="354" t="str">
        <f ca="1">IF(AND('Mapa final'!$K$47="Media",'Mapa final'!$O$47="Menor"),CONCATENATE("R",'Mapa final'!$A$47),"")</f>
        <v/>
      </c>
      <c r="S26" s="354"/>
      <c r="T26" s="354" t="str">
        <f ca="1">IF(AND('Mapa final'!$K$59="Media",'Mapa final'!$O$59="Menor"),CONCATENATE("R",'Mapa final'!$A$59),"")</f>
        <v>R8</v>
      </c>
      <c r="U26" s="355"/>
      <c r="V26" s="353" t="e">
        <f>IF(AND('Mapa final'!#REF!="Media",'Mapa final'!#REF!="Moderado"),CONCATENATE("R",'Mapa final'!#REF!),"")</f>
        <v>#REF!</v>
      </c>
      <c r="W26" s="354"/>
      <c r="X26" s="354" t="str">
        <f ca="1">IF(AND('Mapa final'!$K$47="Media",'Mapa final'!$O$47="Moderado"),CONCATENATE("R",'Mapa final'!$A$47),"")</f>
        <v/>
      </c>
      <c r="Y26" s="354"/>
      <c r="Z26" s="354" t="str">
        <f ca="1">IF(AND('Mapa final'!$K$59="Media",'Mapa final'!$O$59="Moderado"),CONCATENATE("R",'Mapa final'!$A$59),"")</f>
        <v/>
      </c>
      <c r="AA26" s="355"/>
      <c r="AB26" s="336" t="e">
        <f>IF(AND('Mapa final'!#REF!="Media",'Mapa final'!#REF!="Mayor"),CONCATENATE("R",'Mapa final'!#REF!),"")</f>
        <v>#REF!</v>
      </c>
      <c r="AC26" s="333"/>
      <c r="AD26" s="331" t="str">
        <f ca="1">IF(AND('Mapa final'!$K$47="Media",'Mapa final'!$O$47="Mayor"),CONCATENATE("R",'Mapa final'!$A$47),"")</f>
        <v/>
      </c>
      <c r="AE26" s="331"/>
      <c r="AF26" s="331" t="str">
        <f ca="1">IF(AND('Mapa final'!$K$59="Media",'Mapa final'!$O$59="Mayor"),CONCATENATE("R",'Mapa final'!$A$59),"")</f>
        <v/>
      </c>
      <c r="AG26" s="332"/>
      <c r="AH26" s="344" t="e">
        <f>IF(AND('Mapa final'!#REF!="Media",'Mapa final'!#REF!="Catastrófico"),CONCATENATE("R",'Mapa final'!#REF!),"")</f>
        <v>#REF!</v>
      </c>
      <c r="AI26" s="345"/>
      <c r="AJ26" s="345" t="str">
        <f ca="1">IF(AND('Mapa final'!$K$47="Media",'Mapa final'!$O$47="Catastrófico"),CONCATENATE("R",'Mapa final'!$A$47),"")</f>
        <v/>
      </c>
      <c r="AK26" s="345"/>
      <c r="AL26" s="345" t="str">
        <f ca="1">IF(AND('Mapa final'!$K$59="Media",'Mapa final'!$O$59="Catastrófico"),CONCATENATE("R",'Mapa final'!$A$59),"")</f>
        <v/>
      </c>
      <c r="AM26" s="346"/>
      <c r="AN26" s="83"/>
      <c r="AO26" s="307"/>
      <c r="AP26" s="308"/>
      <c r="AQ26" s="308"/>
      <c r="AR26" s="308"/>
      <c r="AS26" s="308"/>
      <c r="AT26" s="309"/>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4"/>
      <c r="C27" s="284"/>
      <c r="D27" s="285"/>
      <c r="E27" s="325"/>
      <c r="F27" s="326"/>
      <c r="G27" s="326"/>
      <c r="H27" s="326"/>
      <c r="I27" s="327"/>
      <c r="J27" s="353"/>
      <c r="K27" s="354"/>
      <c r="L27" s="354"/>
      <c r="M27" s="354"/>
      <c r="N27" s="354"/>
      <c r="O27" s="355"/>
      <c r="P27" s="353"/>
      <c r="Q27" s="354"/>
      <c r="R27" s="354"/>
      <c r="S27" s="354"/>
      <c r="T27" s="354"/>
      <c r="U27" s="355"/>
      <c r="V27" s="353"/>
      <c r="W27" s="354"/>
      <c r="X27" s="354"/>
      <c r="Y27" s="354"/>
      <c r="Z27" s="354"/>
      <c r="AA27" s="355"/>
      <c r="AB27" s="336"/>
      <c r="AC27" s="333"/>
      <c r="AD27" s="331"/>
      <c r="AE27" s="331"/>
      <c r="AF27" s="331"/>
      <c r="AG27" s="332"/>
      <c r="AH27" s="344"/>
      <c r="AI27" s="345"/>
      <c r="AJ27" s="345"/>
      <c r="AK27" s="345"/>
      <c r="AL27" s="345"/>
      <c r="AM27" s="346"/>
      <c r="AN27" s="83"/>
      <c r="AO27" s="307"/>
      <c r="AP27" s="308"/>
      <c r="AQ27" s="308"/>
      <c r="AR27" s="308"/>
      <c r="AS27" s="308"/>
      <c r="AT27" s="30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4"/>
      <c r="C28" s="284"/>
      <c r="D28" s="285"/>
      <c r="E28" s="325"/>
      <c r="F28" s="326"/>
      <c r="G28" s="326"/>
      <c r="H28" s="326"/>
      <c r="I28" s="327"/>
      <c r="J28" s="353" t="str">
        <f ca="1">IF(AND('Mapa final'!$K$71="Media",'Mapa final'!$O$71="Leve"),CONCATENATE("R",'Mapa final'!$A$71),"")</f>
        <v/>
      </c>
      <c r="K28" s="354"/>
      <c r="L28" s="354" t="str">
        <f>IF(AND('Mapa final'!$K$77="Media",'Mapa final'!$O$77="Leve"),CONCATENATE("R",'Mapa final'!$A$77),"")</f>
        <v/>
      </c>
      <c r="M28" s="354"/>
      <c r="N28" s="354" t="str">
        <f>IF(AND('Mapa final'!$K$83="Media",'Mapa final'!$O$83="Leve"),CONCATENATE("R",'Mapa final'!$A$83),"")</f>
        <v/>
      </c>
      <c r="O28" s="355"/>
      <c r="P28" s="353" t="str">
        <f ca="1">IF(AND('Mapa final'!$K$71="Media",'Mapa final'!$O$71="Menor"),CONCATENATE("R",'Mapa final'!$A$71),"")</f>
        <v>R9</v>
      </c>
      <c r="Q28" s="354"/>
      <c r="R28" s="354" t="str">
        <f>IF(AND('Mapa final'!$K$77="Media",'Mapa final'!$O$77="Menor"),CONCATENATE("R",'Mapa final'!$A$77),"")</f>
        <v/>
      </c>
      <c r="S28" s="354"/>
      <c r="T28" s="354" t="str">
        <f>IF(AND('Mapa final'!$K$83="Media",'Mapa final'!$O$83="Menor"),CONCATENATE("R",'Mapa final'!$A$83),"")</f>
        <v/>
      </c>
      <c r="U28" s="355"/>
      <c r="V28" s="353" t="str">
        <f ca="1">IF(AND('Mapa final'!$K$71="Media",'Mapa final'!$O$71="Moderado"),CONCATENATE("R",'Mapa final'!$A$71),"")</f>
        <v/>
      </c>
      <c r="W28" s="354"/>
      <c r="X28" s="354" t="str">
        <f>IF(AND('Mapa final'!$K$77="Media",'Mapa final'!$O$77="Moderado"),CONCATENATE("R",'Mapa final'!$A$77),"")</f>
        <v/>
      </c>
      <c r="Y28" s="354"/>
      <c r="Z28" s="354" t="str">
        <f>IF(AND('Mapa final'!$K$83="Media",'Mapa final'!$O$83="Moderado"),CONCATENATE("R",'Mapa final'!$A$83),"")</f>
        <v/>
      </c>
      <c r="AA28" s="355"/>
      <c r="AB28" s="336" t="str">
        <f ca="1">IF(AND('Mapa final'!$K$71="Media",'Mapa final'!$O$71="Mayor"),CONCATENATE("R",'Mapa final'!$A$71),"")</f>
        <v/>
      </c>
      <c r="AC28" s="333"/>
      <c r="AD28" s="331" t="str">
        <f>IF(AND('Mapa final'!$K$77="Media",'Mapa final'!$O$77="Mayor"),CONCATENATE("R",'Mapa final'!$A$77),"")</f>
        <v/>
      </c>
      <c r="AE28" s="331"/>
      <c r="AF28" s="331" t="str">
        <f>IF(AND('Mapa final'!$K$83="Media",'Mapa final'!$O$83="Mayor"),CONCATENATE("R",'Mapa final'!$A$83),"")</f>
        <v/>
      </c>
      <c r="AG28" s="332"/>
      <c r="AH28" s="344" t="str">
        <f ca="1">IF(AND('Mapa final'!$K$71="Media",'Mapa final'!$O$71="Catastrófico"),CONCATENATE("R",'Mapa final'!$A$71),"")</f>
        <v/>
      </c>
      <c r="AI28" s="345"/>
      <c r="AJ28" s="345" t="str">
        <f>IF(AND('Mapa final'!$K$77="Media",'Mapa final'!$O$77="Catastrófico"),CONCATENATE("R",'Mapa final'!$A$77),"")</f>
        <v/>
      </c>
      <c r="AK28" s="345"/>
      <c r="AL28" s="345" t="str">
        <f>IF(AND('Mapa final'!$K$83="Media",'Mapa final'!$O$83="Catastrófico"),CONCATENATE("R",'Mapa final'!$A$83),"")</f>
        <v/>
      </c>
      <c r="AM28" s="346"/>
      <c r="AN28" s="83"/>
      <c r="AO28" s="307"/>
      <c r="AP28" s="308"/>
      <c r="AQ28" s="308"/>
      <c r="AR28" s="308"/>
      <c r="AS28" s="308"/>
      <c r="AT28" s="30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4"/>
      <c r="C29" s="284"/>
      <c r="D29" s="285"/>
      <c r="E29" s="328"/>
      <c r="F29" s="329"/>
      <c r="G29" s="329"/>
      <c r="H29" s="329"/>
      <c r="I29" s="330"/>
      <c r="J29" s="353"/>
      <c r="K29" s="354"/>
      <c r="L29" s="354"/>
      <c r="M29" s="354"/>
      <c r="N29" s="354"/>
      <c r="O29" s="355"/>
      <c r="P29" s="356"/>
      <c r="Q29" s="357"/>
      <c r="R29" s="357"/>
      <c r="S29" s="357"/>
      <c r="T29" s="357"/>
      <c r="U29" s="358"/>
      <c r="V29" s="356"/>
      <c r="W29" s="357"/>
      <c r="X29" s="357"/>
      <c r="Y29" s="357"/>
      <c r="Z29" s="357"/>
      <c r="AA29" s="358"/>
      <c r="AB29" s="341"/>
      <c r="AC29" s="342"/>
      <c r="AD29" s="342"/>
      <c r="AE29" s="342"/>
      <c r="AF29" s="342"/>
      <c r="AG29" s="343"/>
      <c r="AH29" s="347"/>
      <c r="AI29" s="348"/>
      <c r="AJ29" s="348"/>
      <c r="AK29" s="348"/>
      <c r="AL29" s="348"/>
      <c r="AM29" s="349"/>
      <c r="AN29" s="83"/>
      <c r="AO29" s="310"/>
      <c r="AP29" s="311"/>
      <c r="AQ29" s="311"/>
      <c r="AR29" s="311"/>
      <c r="AS29" s="311"/>
      <c r="AT29" s="31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4"/>
      <c r="C30" s="284"/>
      <c r="D30" s="285"/>
      <c r="E30" s="322" t="s">
        <v>106</v>
      </c>
      <c r="F30" s="323"/>
      <c r="G30" s="323"/>
      <c r="H30" s="323"/>
      <c r="I30" s="323"/>
      <c r="J30" s="368" t="str">
        <f ca="1">IF(AND('Mapa final'!$K$11="Baja",'Mapa final'!$O$11="Leve"),CONCATENATE("R",'Mapa final'!$A$11),"")</f>
        <v>R1</v>
      </c>
      <c r="K30" s="369"/>
      <c r="L30" s="369" t="str">
        <f ca="1">IF(AND('Mapa final'!$K$17="Baja",'Mapa final'!$O$17="Leve"),CONCATENATE("R",'Mapa final'!$A$17),"")</f>
        <v>R2</v>
      </c>
      <c r="M30" s="369"/>
      <c r="N30" s="369" t="str">
        <f ca="1">IF(AND('Mapa final'!$K$23="Baja",'Mapa final'!$O$23="Leve"),CONCATENATE("R",'Mapa final'!$A$23),"")</f>
        <v/>
      </c>
      <c r="O30" s="370"/>
      <c r="P30" s="360" t="str">
        <f ca="1">IF(AND('Mapa final'!$K$11="Baja",'Mapa final'!$O$11="Menor"),CONCATENATE("R",'Mapa final'!$A$11),"")</f>
        <v/>
      </c>
      <c r="Q30" s="360"/>
      <c r="R30" s="360" t="str">
        <f ca="1">IF(AND('Mapa final'!$K$17="Baja",'Mapa final'!$O$17="Menor"),CONCATENATE("R",'Mapa final'!$A$17),"")</f>
        <v/>
      </c>
      <c r="S30" s="360"/>
      <c r="T30" s="360" t="str">
        <f ca="1">IF(AND('Mapa final'!$K$23="Baja",'Mapa final'!$O$23="Menor"),CONCATENATE("R",'Mapa final'!$A$23),"")</f>
        <v/>
      </c>
      <c r="U30" s="361"/>
      <c r="V30" s="359" t="str">
        <f ca="1">IF(AND('Mapa final'!$K$11="Baja",'Mapa final'!$O$11="Moderado"),CONCATENATE("R",'Mapa final'!$A$11),"")</f>
        <v/>
      </c>
      <c r="W30" s="360"/>
      <c r="X30" s="360" t="str">
        <f ca="1">IF(AND('Mapa final'!$K$17="Baja",'Mapa final'!$O$17="Moderado"),CONCATENATE("R",'Mapa final'!$A$17),"")</f>
        <v/>
      </c>
      <c r="Y30" s="360"/>
      <c r="Z30" s="360" t="str">
        <f ca="1">IF(AND('Mapa final'!$K$23="Baja",'Mapa final'!$O$23="Moderado"),CONCATENATE("R",'Mapa final'!$A$23),"")</f>
        <v>R3</v>
      </c>
      <c r="AA30" s="361"/>
      <c r="AB30" s="334" t="str">
        <f ca="1">IF(AND('Mapa final'!$K$11="Baja",'Mapa final'!$O$11="Mayor"),CONCATENATE("R",'Mapa final'!$A$11),"")</f>
        <v/>
      </c>
      <c r="AC30" s="335"/>
      <c r="AD30" s="335" t="str">
        <f ca="1">IF(AND('Mapa final'!$K$17="Baja",'Mapa final'!$O$17="Mayor"),CONCATENATE("R",'Mapa final'!$A$17),"")</f>
        <v/>
      </c>
      <c r="AE30" s="335"/>
      <c r="AF30" s="335" t="str">
        <f ca="1">IF(AND('Mapa final'!$K$23="Baja",'Mapa final'!$O$23="Mayor"),CONCATENATE("R",'Mapa final'!$A$23),"")</f>
        <v/>
      </c>
      <c r="AG30" s="337"/>
      <c r="AH30" s="350" t="str">
        <f ca="1">IF(AND('Mapa final'!$K$11="Baja",'Mapa final'!$O$11="Catastrófico"),CONCATENATE("R",'Mapa final'!$A$11),"")</f>
        <v/>
      </c>
      <c r="AI30" s="351"/>
      <c r="AJ30" s="351" t="str">
        <f ca="1">IF(AND('Mapa final'!$K$17="Baja",'Mapa final'!$O$17="Catastrófico"),CONCATENATE("R",'Mapa final'!$A$17),"")</f>
        <v/>
      </c>
      <c r="AK30" s="351"/>
      <c r="AL30" s="351" t="str">
        <f ca="1">IF(AND('Mapa final'!$K$23="Baja",'Mapa final'!$O$23="Catastrófico"),CONCATENATE("R",'Mapa final'!$A$23),"")</f>
        <v/>
      </c>
      <c r="AM30" s="352"/>
      <c r="AN30" s="83"/>
      <c r="AO30" s="313" t="s">
        <v>79</v>
      </c>
      <c r="AP30" s="314"/>
      <c r="AQ30" s="314"/>
      <c r="AR30" s="314"/>
      <c r="AS30" s="314"/>
      <c r="AT30" s="31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4"/>
      <c r="C31" s="284"/>
      <c r="D31" s="285"/>
      <c r="E31" s="325"/>
      <c r="F31" s="326"/>
      <c r="G31" s="326"/>
      <c r="H31" s="326"/>
      <c r="I31" s="339"/>
      <c r="J31" s="364"/>
      <c r="K31" s="362"/>
      <c r="L31" s="362"/>
      <c r="M31" s="362"/>
      <c r="N31" s="362"/>
      <c r="O31" s="363"/>
      <c r="P31" s="354"/>
      <c r="Q31" s="354"/>
      <c r="R31" s="354"/>
      <c r="S31" s="354"/>
      <c r="T31" s="354"/>
      <c r="U31" s="355"/>
      <c r="V31" s="353"/>
      <c r="W31" s="354"/>
      <c r="X31" s="354"/>
      <c r="Y31" s="354"/>
      <c r="Z31" s="354"/>
      <c r="AA31" s="355"/>
      <c r="AB31" s="336"/>
      <c r="AC31" s="333"/>
      <c r="AD31" s="333"/>
      <c r="AE31" s="333"/>
      <c r="AF31" s="333"/>
      <c r="AG31" s="332"/>
      <c r="AH31" s="344"/>
      <c r="AI31" s="345"/>
      <c r="AJ31" s="345"/>
      <c r="AK31" s="345"/>
      <c r="AL31" s="345"/>
      <c r="AM31" s="346"/>
      <c r="AN31" s="83"/>
      <c r="AO31" s="316"/>
      <c r="AP31" s="317"/>
      <c r="AQ31" s="317"/>
      <c r="AR31" s="317"/>
      <c r="AS31" s="317"/>
      <c r="AT31" s="31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4"/>
      <c r="C32" s="284"/>
      <c r="D32" s="285"/>
      <c r="E32" s="325"/>
      <c r="F32" s="326"/>
      <c r="G32" s="326"/>
      <c r="H32" s="326"/>
      <c r="I32" s="339"/>
      <c r="J32" s="364" t="str">
        <f ca="1">IF(AND('Mapa final'!$K$29="Baja",'Mapa final'!$O$29="Leve"),CONCATENATE("R",'Mapa final'!$A$29),"")</f>
        <v/>
      </c>
      <c r="K32" s="362"/>
      <c r="L32" s="362" t="str">
        <f ca="1">IF(AND('Mapa final'!$K$41="Baja",'Mapa final'!$O$41="Leve"),CONCATENATE("R",'Mapa final'!$A$41),"")</f>
        <v/>
      </c>
      <c r="M32" s="362"/>
      <c r="N32" s="362" t="e">
        <f>IF(AND('Mapa final'!#REF!="Baja",'Mapa final'!#REF!="Leve"),CONCATENATE("R",'Mapa final'!#REF!),"")</f>
        <v>#REF!</v>
      </c>
      <c r="O32" s="363"/>
      <c r="P32" s="354" t="str">
        <f ca="1">IF(AND('Mapa final'!$K$29="Baja",'Mapa final'!$O$29="Menor"),CONCATENATE("R",'Mapa final'!$A$29),"")</f>
        <v>R4</v>
      </c>
      <c r="Q32" s="354"/>
      <c r="R32" s="354" t="str">
        <f ca="1">IF(AND('Mapa final'!$K$41="Baja",'Mapa final'!$O$41="Menor"),CONCATENATE("R",'Mapa final'!$A$41),"")</f>
        <v/>
      </c>
      <c r="S32" s="354"/>
      <c r="T32" s="354" t="e">
        <f>IF(AND('Mapa final'!#REF!="Baja",'Mapa final'!#REF!="Menor"),CONCATENATE("R",'Mapa final'!#REF!),"")</f>
        <v>#REF!</v>
      </c>
      <c r="U32" s="355"/>
      <c r="V32" s="353" t="str">
        <f ca="1">IF(AND('Mapa final'!$K$29="Baja",'Mapa final'!$O$29="Moderado"),CONCATENATE("R",'Mapa final'!$A$29),"")</f>
        <v/>
      </c>
      <c r="W32" s="354"/>
      <c r="X32" s="354" t="str">
        <f ca="1">IF(AND('Mapa final'!$K$41="Baja",'Mapa final'!$O$41="Moderado"),CONCATENATE("R",'Mapa final'!$A$41),"")</f>
        <v/>
      </c>
      <c r="Y32" s="354"/>
      <c r="Z32" s="354" t="e">
        <f>IF(AND('Mapa final'!#REF!="Baja",'Mapa final'!#REF!="Moderado"),CONCATENATE("R",'Mapa final'!#REF!),"")</f>
        <v>#REF!</v>
      </c>
      <c r="AA32" s="355"/>
      <c r="AB32" s="336" t="str">
        <f ca="1">IF(AND('Mapa final'!$K$29="Baja",'Mapa final'!$O$29="Mayor"),CONCATENATE("R",'Mapa final'!$A$29),"")</f>
        <v/>
      </c>
      <c r="AC32" s="333"/>
      <c r="AD32" s="331" t="str">
        <f ca="1">IF(AND('Mapa final'!$K$41="Baja",'Mapa final'!$O$41="Mayor"),CONCATENATE("R",'Mapa final'!$A$41),"")</f>
        <v/>
      </c>
      <c r="AE32" s="331"/>
      <c r="AF32" s="331" t="e">
        <f>IF(AND('Mapa final'!#REF!="Baja",'Mapa final'!#REF!="Mayor"),CONCATENATE("R",'Mapa final'!#REF!),"")</f>
        <v>#REF!</v>
      </c>
      <c r="AG32" s="332"/>
      <c r="AH32" s="344" t="str">
        <f ca="1">IF(AND('Mapa final'!$K$29="Baja",'Mapa final'!$O$29="Catastrófico"),CONCATENATE("R",'Mapa final'!$A$29),"")</f>
        <v/>
      </c>
      <c r="AI32" s="345"/>
      <c r="AJ32" s="345" t="str">
        <f ca="1">IF(AND('Mapa final'!$K$41="Baja",'Mapa final'!$O$41="Catastrófico"),CONCATENATE("R",'Mapa final'!$A$41),"")</f>
        <v/>
      </c>
      <c r="AK32" s="345"/>
      <c r="AL32" s="345" t="e">
        <f>IF(AND('Mapa final'!#REF!="Baja",'Mapa final'!#REF!="Catastrófico"),CONCATENATE("R",'Mapa final'!#REF!),"")</f>
        <v>#REF!</v>
      </c>
      <c r="AM32" s="346"/>
      <c r="AN32" s="83"/>
      <c r="AO32" s="316"/>
      <c r="AP32" s="317"/>
      <c r="AQ32" s="317"/>
      <c r="AR32" s="317"/>
      <c r="AS32" s="317"/>
      <c r="AT32" s="31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4"/>
      <c r="C33" s="284"/>
      <c r="D33" s="285"/>
      <c r="E33" s="325"/>
      <c r="F33" s="326"/>
      <c r="G33" s="326"/>
      <c r="H33" s="326"/>
      <c r="I33" s="339"/>
      <c r="J33" s="364"/>
      <c r="K33" s="362"/>
      <c r="L33" s="362"/>
      <c r="M33" s="362"/>
      <c r="N33" s="362"/>
      <c r="O33" s="363"/>
      <c r="P33" s="354"/>
      <c r="Q33" s="354"/>
      <c r="R33" s="354"/>
      <c r="S33" s="354"/>
      <c r="T33" s="354"/>
      <c r="U33" s="355"/>
      <c r="V33" s="353"/>
      <c r="W33" s="354"/>
      <c r="X33" s="354"/>
      <c r="Y33" s="354"/>
      <c r="Z33" s="354"/>
      <c r="AA33" s="355"/>
      <c r="AB33" s="336"/>
      <c r="AC33" s="333"/>
      <c r="AD33" s="331"/>
      <c r="AE33" s="331"/>
      <c r="AF33" s="331"/>
      <c r="AG33" s="332"/>
      <c r="AH33" s="344"/>
      <c r="AI33" s="345"/>
      <c r="AJ33" s="345"/>
      <c r="AK33" s="345"/>
      <c r="AL33" s="345"/>
      <c r="AM33" s="346"/>
      <c r="AN33" s="83"/>
      <c r="AO33" s="316"/>
      <c r="AP33" s="317"/>
      <c r="AQ33" s="317"/>
      <c r="AR33" s="317"/>
      <c r="AS33" s="317"/>
      <c r="AT33" s="31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4"/>
      <c r="C34" s="284"/>
      <c r="D34" s="285"/>
      <c r="E34" s="325"/>
      <c r="F34" s="326"/>
      <c r="G34" s="326"/>
      <c r="H34" s="326"/>
      <c r="I34" s="339"/>
      <c r="J34" s="364" t="e">
        <f>IF(AND('Mapa final'!#REF!="Baja",'Mapa final'!#REF!="Leve"),CONCATENATE("R",'Mapa final'!#REF!),"")</f>
        <v>#REF!</v>
      </c>
      <c r="K34" s="362"/>
      <c r="L34" s="362" t="str">
        <f ca="1">IF(AND('Mapa final'!$K$47="Baja",'Mapa final'!$O$47="Leve"),CONCATENATE("R",'Mapa final'!$A$47),"")</f>
        <v/>
      </c>
      <c r="M34" s="362"/>
      <c r="N34" s="362" t="str">
        <f ca="1">IF(AND('Mapa final'!$K$59="Baja",'Mapa final'!$O$59="Leve"),CONCATENATE("R",'Mapa final'!$A$59),"")</f>
        <v/>
      </c>
      <c r="O34" s="363"/>
      <c r="P34" s="354" t="e">
        <f>IF(AND('Mapa final'!#REF!="Baja",'Mapa final'!#REF!="Menor"),CONCATENATE("R",'Mapa final'!#REF!),"")</f>
        <v>#REF!</v>
      </c>
      <c r="Q34" s="354"/>
      <c r="R34" s="354" t="str">
        <f ca="1">IF(AND('Mapa final'!$K$47="Baja",'Mapa final'!$O$47="Menor"),CONCATENATE("R",'Mapa final'!$A$47),"")</f>
        <v/>
      </c>
      <c r="S34" s="354"/>
      <c r="T34" s="354" t="str">
        <f ca="1">IF(AND('Mapa final'!$K$59="Baja",'Mapa final'!$O$59="Menor"),CONCATENATE("R",'Mapa final'!$A$59),"")</f>
        <v/>
      </c>
      <c r="U34" s="355"/>
      <c r="V34" s="353" t="e">
        <f>IF(AND('Mapa final'!#REF!="Baja",'Mapa final'!#REF!="Moderado"),CONCATENATE("R",'Mapa final'!#REF!),"")</f>
        <v>#REF!</v>
      </c>
      <c r="W34" s="354"/>
      <c r="X34" s="354" t="str">
        <f ca="1">IF(AND('Mapa final'!$K$47="Baja",'Mapa final'!$O$47="Moderado"),CONCATENATE("R",'Mapa final'!$A$47),"")</f>
        <v/>
      </c>
      <c r="Y34" s="354"/>
      <c r="Z34" s="354" t="str">
        <f ca="1">IF(AND('Mapa final'!$K$59="Baja",'Mapa final'!$O$59="Moderado"),CONCATENATE("R",'Mapa final'!$A$59),"")</f>
        <v/>
      </c>
      <c r="AA34" s="355"/>
      <c r="AB34" s="336" t="e">
        <f>IF(AND('Mapa final'!#REF!="Baja",'Mapa final'!#REF!="Mayor"),CONCATENATE("R",'Mapa final'!#REF!),"")</f>
        <v>#REF!</v>
      </c>
      <c r="AC34" s="333"/>
      <c r="AD34" s="331" t="str">
        <f ca="1">IF(AND('Mapa final'!$K$47="Baja",'Mapa final'!$O$47="Mayor"),CONCATENATE("R",'Mapa final'!$A$47),"")</f>
        <v/>
      </c>
      <c r="AE34" s="331"/>
      <c r="AF34" s="331" t="str">
        <f ca="1">IF(AND('Mapa final'!$K$59="Baja",'Mapa final'!$O$59="Mayor"),CONCATENATE("R",'Mapa final'!$A$59),"")</f>
        <v/>
      </c>
      <c r="AG34" s="332"/>
      <c r="AH34" s="344" t="e">
        <f>IF(AND('Mapa final'!#REF!="Baja",'Mapa final'!#REF!="Catastrófico"),CONCATENATE("R",'Mapa final'!#REF!),"")</f>
        <v>#REF!</v>
      </c>
      <c r="AI34" s="345"/>
      <c r="AJ34" s="345" t="str">
        <f ca="1">IF(AND('Mapa final'!$K$47="Baja",'Mapa final'!$O$47="Catastrófico"),CONCATENATE("R",'Mapa final'!$A$47),"")</f>
        <v/>
      </c>
      <c r="AK34" s="345"/>
      <c r="AL34" s="345" t="str">
        <f ca="1">IF(AND('Mapa final'!$K$59="Baja",'Mapa final'!$O$59="Catastrófico"),CONCATENATE("R",'Mapa final'!$A$59),"")</f>
        <v/>
      </c>
      <c r="AM34" s="346"/>
      <c r="AN34" s="83"/>
      <c r="AO34" s="316"/>
      <c r="AP34" s="317"/>
      <c r="AQ34" s="317"/>
      <c r="AR34" s="317"/>
      <c r="AS34" s="317"/>
      <c r="AT34" s="31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4"/>
      <c r="C35" s="284"/>
      <c r="D35" s="285"/>
      <c r="E35" s="325"/>
      <c r="F35" s="326"/>
      <c r="G35" s="326"/>
      <c r="H35" s="326"/>
      <c r="I35" s="339"/>
      <c r="J35" s="364"/>
      <c r="K35" s="362"/>
      <c r="L35" s="362"/>
      <c r="M35" s="362"/>
      <c r="N35" s="362"/>
      <c r="O35" s="363"/>
      <c r="P35" s="354"/>
      <c r="Q35" s="354"/>
      <c r="R35" s="354"/>
      <c r="S35" s="354"/>
      <c r="T35" s="354"/>
      <c r="U35" s="355"/>
      <c r="V35" s="353"/>
      <c r="W35" s="354"/>
      <c r="X35" s="354"/>
      <c r="Y35" s="354"/>
      <c r="Z35" s="354"/>
      <c r="AA35" s="355"/>
      <c r="AB35" s="336"/>
      <c r="AC35" s="333"/>
      <c r="AD35" s="331"/>
      <c r="AE35" s="331"/>
      <c r="AF35" s="331"/>
      <c r="AG35" s="332"/>
      <c r="AH35" s="344"/>
      <c r="AI35" s="345"/>
      <c r="AJ35" s="345"/>
      <c r="AK35" s="345"/>
      <c r="AL35" s="345"/>
      <c r="AM35" s="346"/>
      <c r="AN35" s="83"/>
      <c r="AO35" s="316"/>
      <c r="AP35" s="317"/>
      <c r="AQ35" s="317"/>
      <c r="AR35" s="317"/>
      <c r="AS35" s="317"/>
      <c r="AT35" s="31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4"/>
      <c r="C36" s="284"/>
      <c r="D36" s="285"/>
      <c r="E36" s="325"/>
      <c r="F36" s="326"/>
      <c r="G36" s="326"/>
      <c r="H36" s="326"/>
      <c r="I36" s="339"/>
      <c r="J36" s="364" t="str">
        <f ca="1">IF(AND('Mapa final'!$K$71="Baja",'Mapa final'!$O$71="Leve"),CONCATENATE("R",'Mapa final'!$A$71),"")</f>
        <v/>
      </c>
      <c r="K36" s="362"/>
      <c r="L36" s="362" t="str">
        <f>IF(AND('Mapa final'!$K$77="Baja",'Mapa final'!$O$77="Leve"),CONCATENATE("R",'Mapa final'!$A$77),"")</f>
        <v/>
      </c>
      <c r="M36" s="362"/>
      <c r="N36" s="362" t="str">
        <f>IF(AND('Mapa final'!$K$83="Baja",'Mapa final'!$O$83="Leve"),CONCATENATE("R",'Mapa final'!$A$83),"")</f>
        <v/>
      </c>
      <c r="O36" s="363"/>
      <c r="P36" s="354" t="str">
        <f ca="1">IF(AND('Mapa final'!$K$71="Baja",'Mapa final'!$O$71="Menor"),CONCATENATE("R",'Mapa final'!$A$71),"")</f>
        <v/>
      </c>
      <c r="Q36" s="354"/>
      <c r="R36" s="354" t="str">
        <f>IF(AND('Mapa final'!$K$77="Baja",'Mapa final'!$O$77="Menor"),CONCATENATE("R",'Mapa final'!$A$77),"")</f>
        <v/>
      </c>
      <c r="S36" s="354"/>
      <c r="T36" s="354" t="str">
        <f>IF(AND('Mapa final'!$K$83="Baja",'Mapa final'!$O$83="Menor"),CONCATENATE("R",'Mapa final'!$A$83),"")</f>
        <v/>
      </c>
      <c r="U36" s="355"/>
      <c r="V36" s="353" t="str">
        <f ca="1">IF(AND('Mapa final'!$K$71="Baja",'Mapa final'!$O$71="Moderado"),CONCATENATE("R",'Mapa final'!$A$71),"")</f>
        <v/>
      </c>
      <c r="W36" s="354"/>
      <c r="X36" s="354" t="str">
        <f>IF(AND('Mapa final'!$K$77="Baja",'Mapa final'!$O$77="Moderado"),CONCATENATE("R",'Mapa final'!$A$77),"")</f>
        <v/>
      </c>
      <c r="Y36" s="354"/>
      <c r="Z36" s="354" t="str">
        <f>IF(AND('Mapa final'!$K$83="Baja",'Mapa final'!$O$83="Moderado"),CONCATENATE("R",'Mapa final'!$A$83),"")</f>
        <v/>
      </c>
      <c r="AA36" s="355"/>
      <c r="AB36" s="336" t="str">
        <f ca="1">IF(AND('Mapa final'!$K$71="Baja",'Mapa final'!$O$71="Mayor"),CONCATENATE("R",'Mapa final'!$A$71),"")</f>
        <v/>
      </c>
      <c r="AC36" s="333"/>
      <c r="AD36" s="331" t="str">
        <f>IF(AND('Mapa final'!$K$77="Baja",'Mapa final'!$O$77="Mayor"),CONCATENATE("R",'Mapa final'!$A$77),"")</f>
        <v/>
      </c>
      <c r="AE36" s="331"/>
      <c r="AF36" s="331" t="str">
        <f>IF(AND('Mapa final'!$K$83="Baja",'Mapa final'!$O$83="Mayor"),CONCATENATE("R",'Mapa final'!$A$83),"")</f>
        <v/>
      </c>
      <c r="AG36" s="332"/>
      <c r="AH36" s="344" t="str">
        <f ca="1">IF(AND('Mapa final'!$K$71="Baja",'Mapa final'!$O$71="Catastrófico"),CONCATENATE("R",'Mapa final'!$A$71),"")</f>
        <v/>
      </c>
      <c r="AI36" s="345"/>
      <c r="AJ36" s="345" t="str">
        <f>IF(AND('Mapa final'!$K$77="Baja",'Mapa final'!$O$77="Catastrófico"),CONCATENATE("R",'Mapa final'!$A$77),"")</f>
        <v/>
      </c>
      <c r="AK36" s="345"/>
      <c r="AL36" s="345" t="str">
        <f>IF(AND('Mapa final'!$K$83="Baja",'Mapa final'!$O$83="Catastrófico"),CONCATENATE("R",'Mapa final'!$A$83),"")</f>
        <v/>
      </c>
      <c r="AM36" s="346"/>
      <c r="AN36" s="83"/>
      <c r="AO36" s="316"/>
      <c r="AP36" s="317"/>
      <c r="AQ36" s="317"/>
      <c r="AR36" s="317"/>
      <c r="AS36" s="317"/>
      <c r="AT36" s="31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4"/>
      <c r="C37" s="284"/>
      <c r="D37" s="285"/>
      <c r="E37" s="328"/>
      <c r="F37" s="329"/>
      <c r="G37" s="329"/>
      <c r="H37" s="329"/>
      <c r="I37" s="329"/>
      <c r="J37" s="365"/>
      <c r="K37" s="366"/>
      <c r="L37" s="366"/>
      <c r="M37" s="366"/>
      <c r="N37" s="366"/>
      <c r="O37" s="367"/>
      <c r="P37" s="357"/>
      <c r="Q37" s="357"/>
      <c r="R37" s="357"/>
      <c r="S37" s="357"/>
      <c r="T37" s="357"/>
      <c r="U37" s="358"/>
      <c r="V37" s="356"/>
      <c r="W37" s="357"/>
      <c r="X37" s="357"/>
      <c r="Y37" s="357"/>
      <c r="Z37" s="357"/>
      <c r="AA37" s="358"/>
      <c r="AB37" s="341"/>
      <c r="AC37" s="342"/>
      <c r="AD37" s="342"/>
      <c r="AE37" s="342"/>
      <c r="AF37" s="342"/>
      <c r="AG37" s="343"/>
      <c r="AH37" s="347"/>
      <c r="AI37" s="348"/>
      <c r="AJ37" s="348"/>
      <c r="AK37" s="348"/>
      <c r="AL37" s="348"/>
      <c r="AM37" s="349"/>
      <c r="AN37" s="83"/>
      <c r="AO37" s="319"/>
      <c r="AP37" s="320"/>
      <c r="AQ37" s="320"/>
      <c r="AR37" s="320"/>
      <c r="AS37" s="320"/>
      <c r="AT37" s="32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4"/>
      <c r="C38" s="284"/>
      <c r="D38" s="285"/>
      <c r="E38" s="322" t="s">
        <v>105</v>
      </c>
      <c r="F38" s="323"/>
      <c r="G38" s="323"/>
      <c r="H38" s="323"/>
      <c r="I38" s="324"/>
      <c r="J38" s="368" t="str">
        <f ca="1">IF(AND('Mapa final'!$K$11="Muy Baja",'Mapa final'!$O$11="Leve"),CONCATENATE("R",'Mapa final'!$A$11),"")</f>
        <v/>
      </c>
      <c r="K38" s="369"/>
      <c r="L38" s="369" t="str">
        <f ca="1">IF(AND('Mapa final'!$K$17="Muy Baja",'Mapa final'!$O$17="Leve"),CONCATENATE("R",'Mapa final'!$A$17),"")</f>
        <v/>
      </c>
      <c r="M38" s="369"/>
      <c r="N38" s="369" t="str">
        <f ca="1">IF(AND('Mapa final'!$K$23="Muy Baja",'Mapa final'!$O$23="Leve"),CONCATENATE("R",'Mapa final'!$A$23),"")</f>
        <v/>
      </c>
      <c r="O38" s="370"/>
      <c r="P38" s="368" t="str">
        <f ca="1">IF(AND('Mapa final'!$K$11="Muy Baja",'Mapa final'!$O$11="Menor"),CONCATENATE("R",'Mapa final'!$A$11),"")</f>
        <v/>
      </c>
      <c r="Q38" s="369"/>
      <c r="R38" s="369" t="str">
        <f ca="1">IF(AND('Mapa final'!$K$17="Muy Baja",'Mapa final'!$O$17="Menor"),CONCATENATE("R",'Mapa final'!$A$17),"")</f>
        <v/>
      </c>
      <c r="S38" s="369"/>
      <c r="T38" s="369" t="str">
        <f ca="1">IF(AND('Mapa final'!$K$23="Muy Baja",'Mapa final'!$O$23="Menor"),CONCATENATE("R",'Mapa final'!$A$23),"")</f>
        <v/>
      </c>
      <c r="U38" s="370"/>
      <c r="V38" s="359" t="str">
        <f ca="1">IF(AND('Mapa final'!$K$11="Muy Baja",'Mapa final'!$O$11="Moderado"),CONCATENATE("R",'Mapa final'!$A$11),"")</f>
        <v/>
      </c>
      <c r="W38" s="360"/>
      <c r="X38" s="360" t="str">
        <f ca="1">IF(AND('Mapa final'!$K$17="Muy Baja",'Mapa final'!$O$17="Moderado"),CONCATENATE("R",'Mapa final'!$A$17),"")</f>
        <v/>
      </c>
      <c r="Y38" s="360"/>
      <c r="Z38" s="360" t="str">
        <f ca="1">IF(AND('Mapa final'!$K$23="Muy Baja",'Mapa final'!$O$23="Moderado"),CONCATENATE("R",'Mapa final'!$A$23),"")</f>
        <v/>
      </c>
      <c r="AA38" s="361"/>
      <c r="AB38" s="334" t="str">
        <f ca="1">IF(AND('Mapa final'!$K$11="Muy Baja",'Mapa final'!$O$11="Mayor"),CONCATENATE("R",'Mapa final'!$A$11),"")</f>
        <v/>
      </c>
      <c r="AC38" s="335"/>
      <c r="AD38" s="335" t="str">
        <f ca="1">IF(AND('Mapa final'!$K$17="Muy Baja",'Mapa final'!$O$17="Mayor"),CONCATENATE("R",'Mapa final'!$A$17),"")</f>
        <v/>
      </c>
      <c r="AE38" s="335"/>
      <c r="AF38" s="335" t="str">
        <f ca="1">IF(AND('Mapa final'!$K$23="Muy Baja",'Mapa final'!$O$23="Mayor"),CONCATENATE("R",'Mapa final'!$A$23),"")</f>
        <v/>
      </c>
      <c r="AG38" s="337"/>
      <c r="AH38" s="350" t="str">
        <f ca="1">IF(AND('Mapa final'!$K$11="Muy Baja",'Mapa final'!$O$11="Catastrófico"),CONCATENATE("R",'Mapa final'!$A$11),"")</f>
        <v/>
      </c>
      <c r="AI38" s="351"/>
      <c r="AJ38" s="351" t="str">
        <f ca="1">IF(AND('Mapa final'!$K$17="Muy Baja",'Mapa final'!$O$17="Catastrófico"),CONCATENATE("R",'Mapa final'!$A$17),"")</f>
        <v/>
      </c>
      <c r="AK38" s="351"/>
      <c r="AL38" s="351" t="str">
        <f ca="1">IF(AND('Mapa final'!$K$23="Muy Baja",'Mapa final'!$O$23="Catastrófico"),CONCATENATE("R",'Mapa final'!$A$23),"")</f>
        <v/>
      </c>
      <c r="AM38" s="35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4"/>
      <c r="C39" s="284"/>
      <c r="D39" s="285"/>
      <c r="E39" s="325"/>
      <c r="F39" s="326"/>
      <c r="G39" s="326"/>
      <c r="H39" s="326"/>
      <c r="I39" s="327"/>
      <c r="J39" s="364"/>
      <c r="K39" s="362"/>
      <c r="L39" s="362"/>
      <c r="M39" s="362"/>
      <c r="N39" s="362"/>
      <c r="O39" s="363"/>
      <c r="P39" s="364"/>
      <c r="Q39" s="362"/>
      <c r="R39" s="362"/>
      <c r="S39" s="362"/>
      <c r="T39" s="362"/>
      <c r="U39" s="363"/>
      <c r="V39" s="353"/>
      <c r="W39" s="354"/>
      <c r="X39" s="354"/>
      <c r="Y39" s="354"/>
      <c r="Z39" s="354"/>
      <c r="AA39" s="355"/>
      <c r="AB39" s="336"/>
      <c r="AC39" s="333"/>
      <c r="AD39" s="333"/>
      <c r="AE39" s="333"/>
      <c r="AF39" s="333"/>
      <c r="AG39" s="332"/>
      <c r="AH39" s="344"/>
      <c r="AI39" s="345"/>
      <c r="AJ39" s="345"/>
      <c r="AK39" s="345"/>
      <c r="AL39" s="345"/>
      <c r="AM39" s="34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4"/>
      <c r="C40" s="284"/>
      <c r="D40" s="285"/>
      <c r="E40" s="325"/>
      <c r="F40" s="326"/>
      <c r="G40" s="326"/>
      <c r="H40" s="326"/>
      <c r="I40" s="327"/>
      <c r="J40" s="364" t="str">
        <f ca="1">IF(AND('Mapa final'!$K$29="Muy Baja",'Mapa final'!$O$29="Leve"),CONCATENATE("R",'Mapa final'!$A$29),"")</f>
        <v/>
      </c>
      <c r="K40" s="362"/>
      <c r="L40" s="362" t="str">
        <f ca="1">IF(AND('Mapa final'!$K$41="Muy Baja",'Mapa final'!$O$41="Leve"),CONCATENATE("R",'Mapa final'!$A$41),"")</f>
        <v/>
      </c>
      <c r="M40" s="362"/>
      <c r="N40" s="362" t="e">
        <f>IF(AND('Mapa final'!#REF!="Muy Baja",'Mapa final'!#REF!="Leve"),CONCATENATE("R",'Mapa final'!#REF!),"")</f>
        <v>#REF!</v>
      </c>
      <c r="O40" s="363"/>
      <c r="P40" s="364" t="str">
        <f ca="1">IF(AND('Mapa final'!$K$29="Muy Baja",'Mapa final'!$O$29="Menor"),CONCATENATE("R",'Mapa final'!$A$29),"")</f>
        <v/>
      </c>
      <c r="Q40" s="362"/>
      <c r="R40" s="362" t="str">
        <f ca="1">IF(AND('Mapa final'!$K$41="Muy Baja",'Mapa final'!$O$41="Menor"),CONCATENATE("R",'Mapa final'!$A$41),"")</f>
        <v/>
      </c>
      <c r="S40" s="362"/>
      <c r="T40" s="362" t="e">
        <f>IF(AND('Mapa final'!#REF!="Muy Baja",'Mapa final'!#REF!="Menor"),CONCATENATE("R",'Mapa final'!#REF!),"")</f>
        <v>#REF!</v>
      </c>
      <c r="U40" s="363"/>
      <c r="V40" s="353" t="str">
        <f ca="1">IF(AND('Mapa final'!$K$29="Muy Baja",'Mapa final'!$O$29="Moderado"),CONCATENATE("R",'Mapa final'!$A$29),"")</f>
        <v/>
      </c>
      <c r="W40" s="354"/>
      <c r="X40" s="354" t="str">
        <f ca="1">IF(AND('Mapa final'!$K$41="Muy Baja",'Mapa final'!$O$41="Moderado"),CONCATENATE("R",'Mapa final'!$A$41),"")</f>
        <v/>
      </c>
      <c r="Y40" s="354"/>
      <c r="Z40" s="354" t="e">
        <f>IF(AND('Mapa final'!#REF!="Muy Baja",'Mapa final'!#REF!="Moderado"),CONCATENATE("R",'Mapa final'!#REF!),"")</f>
        <v>#REF!</v>
      </c>
      <c r="AA40" s="355"/>
      <c r="AB40" s="336" t="str">
        <f ca="1">IF(AND('Mapa final'!$K$29="Muy Baja",'Mapa final'!$O$29="Mayor"),CONCATENATE("R",'Mapa final'!$A$29),"")</f>
        <v/>
      </c>
      <c r="AC40" s="333"/>
      <c r="AD40" s="331" t="str">
        <f ca="1">IF(AND('Mapa final'!$K$41="Muy Baja",'Mapa final'!$O$41="Mayor"),CONCATENATE("R",'Mapa final'!$A$41),"")</f>
        <v/>
      </c>
      <c r="AE40" s="331"/>
      <c r="AF40" s="331" t="e">
        <f>IF(AND('Mapa final'!#REF!="Muy Baja",'Mapa final'!#REF!="Mayor"),CONCATENATE("R",'Mapa final'!#REF!),"")</f>
        <v>#REF!</v>
      </c>
      <c r="AG40" s="332"/>
      <c r="AH40" s="344" t="str">
        <f ca="1">IF(AND('Mapa final'!$K$29="Muy Baja",'Mapa final'!$O$29="Catastrófico"),CONCATENATE("R",'Mapa final'!$A$29),"")</f>
        <v/>
      </c>
      <c r="AI40" s="345"/>
      <c r="AJ40" s="345" t="str">
        <f ca="1">IF(AND('Mapa final'!$K$41="Muy Baja",'Mapa final'!$O$41="Catastrófico"),CONCATENATE("R",'Mapa final'!$A$41),"")</f>
        <v/>
      </c>
      <c r="AK40" s="345"/>
      <c r="AL40" s="345" t="e">
        <f>IF(AND('Mapa final'!#REF!="Muy Baja",'Mapa final'!#REF!="Catastrófico"),CONCATENATE("R",'Mapa final'!#REF!),"")</f>
        <v>#REF!</v>
      </c>
      <c r="AM40" s="34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4"/>
      <c r="C41" s="284"/>
      <c r="D41" s="285"/>
      <c r="E41" s="325"/>
      <c r="F41" s="326"/>
      <c r="G41" s="326"/>
      <c r="H41" s="326"/>
      <c r="I41" s="327"/>
      <c r="J41" s="364"/>
      <c r="K41" s="362"/>
      <c r="L41" s="362"/>
      <c r="M41" s="362"/>
      <c r="N41" s="362"/>
      <c r="O41" s="363"/>
      <c r="P41" s="364"/>
      <c r="Q41" s="362"/>
      <c r="R41" s="362"/>
      <c r="S41" s="362"/>
      <c r="T41" s="362"/>
      <c r="U41" s="363"/>
      <c r="V41" s="353"/>
      <c r="W41" s="354"/>
      <c r="X41" s="354"/>
      <c r="Y41" s="354"/>
      <c r="Z41" s="354"/>
      <c r="AA41" s="355"/>
      <c r="AB41" s="336"/>
      <c r="AC41" s="333"/>
      <c r="AD41" s="331"/>
      <c r="AE41" s="331"/>
      <c r="AF41" s="331"/>
      <c r="AG41" s="332"/>
      <c r="AH41" s="344"/>
      <c r="AI41" s="345"/>
      <c r="AJ41" s="345"/>
      <c r="AK41" s="345"/>
      <c r="AL41" s="345"/>
      <c r="AM41" s="34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4"/>
      <c r="C42" s="284"/>
      <c r="D42" s="285"/>
      <c r="E42" s="325"/>
      <c r="F42" s="326"/>
      <c r="G42" s="326"/>
      <c r="H42" s="326"/>
      <c r="I42" s="327"/>
      <c r="J42" s="364" t="e">
        <f>IF(AND('Mapa final'!#REF!="Muy Baja",'Mapa final'!#REF!="Leve"),CONCATENATE("R",'Mapa final'!#REF!),"")</f>
        <v>#REF!</v>
      </c>
      <c r="K42" s="362"/>
      <c r="L42" s="362" t="str">
        <f ca="1">IF(AND('Mapa final'!$K$47="Muy Baja",'Mapa final'!$O$47="Leve"),CONCATENATE("R",'Mapa final'!$A$47),"")</f>
        <v/>
      </c>
      <c r="M42" s="362"/>
      <c r="N42" s="362" t="str">
        <f ca="1">IF(AND('Mapa final'!$K$59="Muy Baja",'Mapa final'!$O$59="Leve"),CONCATENATE("R",'Mapa final'!$A$59),"")</f>
        <v/>
      </c>
      <c r="O42" s="363"/>
      <c r="P42" s="364" t="e">
        <f>IF(AND('Mapa final'!#REF!="Muy Baja",'Mapa final'!#REF!="Menor"),CONCATENATE("R",'Mapa final'!#REF!),"")</f>
        <v>#REF!</v>
      </c>
      <c r="Q42" s="362"/>
      <c r="R42" s="362" t="str">
        <f ca="1">IF(AND('Mapa final'!$K$47="Muy Baja",'Mapa final'!$O$47="Menor"),CONCATENATE("R",'Mapa final'!$A$47),"")</f>
        <v/>
      </c>
      <c r="S42" s="362"/>
      <c r="T42" s="362" t="str">
        <f ca="1">IF(AND('Mapa final'!$K$59="Muy Baja",'Mapa final'!$O$59="Menor"),CONCATENATE("R",'Mapa final'!$A$59),"")</f>
        <v/>
      </c>
      <c r="U42" s="363"/>
      <c r="V42" s="353" t="e">
        <f>IF(AND('Mapa final'!#REF!="Muy Baja",'Mapa final'!#REF!="Moderado"),CONCATENATE("R",'Mapa final'!#REF!),"")</f>
        <v>#REF!</v>
      </c>
      <c r="W42" s="354"/>
      <c r="X42" s="354" t="str">
        <f ca="1">IF(AND('Mapa final'!$K$47="Muy Baja",'Mapa final'!$O$47="Moderado"),CONCATENATE("R",'Mapa final'!$A$47),"")</f>
        <v>R7</v>
      </c>
      <c r="Y42" s="354"/>
      <c r="Z42" s="354" t="str">
        <f ca="1">IF(AND('Mapa final'!$K$59="Muy Baja",'Mapa final'!$O$59="Moderado"),CONCATENATE("R",'Mapa final'!$A$59),"")</f>
        <v/>
      </c>
      <c r="AA42" s="355"/>
      <c r="AB42" s="336" t="e">
        <f>IF(AND('Mapa final'!#REF!="Muy Baja",'Mapa final'!#REF!="Mayor"),CONCATENATE("R",'Mapa final'!#REF!),"")</f>
        <v>#REF!</v>
      </c>
      <c r="AC42" s="333"/>
      <c r="AD42" s="331" t="str">
        <f ca="1">IF(AND('Mapa final'!$K$47="Muy Baja",'Mapa final'!$O$47="Mayor"),CONCATENATE("R",'Mapa final'!$A$47),"")</f>
        <v/>
      </c>
      <c r="AE42" s="331"/>
      <c r="AF42" s="331" t="str">
        <f ca="1">IF(AND('Mapa final'!$K$59="Muy Baja",'Mapa final'!$O$59="Mayor"),CONCATENATE("R",'Mapa final'!$A$59),"")</f>
        <v/>
      </c>
      <c r="AG42" s="332"/>
      <c r="AH42" s="344" t="e">
        <f>IF(AND('Mapa final'!#REF!="Muy Baja",'Mapa final'!#REF!="Catastrófico"),CONCATENATE("R",'Mapa final'!#REF!),"")</f>
        <v>#REF!</v>
      </c>
      <c r="AI42" s="345"/>
      <c r="AJ42" s="345" t="str">
        <f ca="1">IF(AND('Mapa final'!$K$47="Muy Baja",'Mapa final'!$O$47="Catastrófico"),CONCATENATE("R",'Mapa final'!$A$47),"")</f>
        <v/>
      </c>
      <c r="AK42" s="345"/>
      <c r="AL42" s="345" t="str">
        <f ca="1">IF(AND('Mapa final'!$K$59="Muy Baja",'Mapa final'!$O$59="Catastrófico"),CONCATENATE("R",'Mapa final'!$A$59),"")</f>
        <v/>
      </c>
      <c r="AM42" s="34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4"/>
      <c r="C43" s="284"/>
      <c r="D43" s="285"/>
      <c r="E43" s="325"/>
      <c r="F43" s="326"/>
      <c r="G43" s="326"/>
      <c r="H43" s="326"/>
      <c r="I43" s="327"/>
      <c r="J43" s="364"/>
      <c r="K43" s="362"/>
      <c r="L43" s="362"/>
      <c r="M43" s="362"/>
      <c r="N43" s="362"/>
      <c r="O43" s="363"/>
      <c r="P43" s="364"/>
      <c r="Q43" s="362"/>
      <c r="R43" s="362"/>
      <c r="S43" s="362"/>
      <c r="T43" s="362"/>
      <c r="U43" s="363"/>
      <c r="V43" s="353"/>
      <c r="W43" s="354"/>
      <c r="X43" s="354"/>
      <c r="Y43" s="354"/>
      <c r="Z43" s="354"/>
      <c r="AA43" s="355"/>
      <c r="AB43" s="336"/>
      <c r="AC43" s="333"/>
      <c r="AD43" s="331"/>
      <c r="AE43" s="331"/>
      <c r="AF43" s="331"/>
      <c r="AG43" s="332"/>
      <c r="AH43" s="344"/>
      <c r="AI43" s="345"/>
      <c r="AJ43" s="345"/>
      <c r="AK43" s="345"/>
      <c r="AL43" s="345"/>
      <c r="AM43" s="34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4"/>
      <c r="C44" s="284"/>
      <c r="D44" s="285"/>
      <c r="E44" s="325"/>
      <c r="F44" s="326"/>
      <c r="G44" s="326"/>
      <c r="H44" s="326"/>
      <c r="I44" s="327"/>
      <c r="J44" s="364" t="str">
        <f ca="1">IF(AND('Mapa final'!$K$71="Muy Baja",'Mapa final'!$O$71="Leve"),CONCATENATE("R",'Mapa final'!$A$71),"")</f>
        <v/>
      </c>
      <c r="K44" s="362"/>
      <c r="L44" s="362" t="str">
        <f>IF(AND('Mapa final'!$K$77="Muy Baja",'Mapa final'!$O$77="Leve"),CONCATENATE("R",'Mapa final'!$A$77),"")</f>
        <v/>
      </c>
      <c r="M44" s="362"/>
      <c r="N44" s="362" t="str">
        <f>IF(AND('Mapa final'!$K$83="Muy Baja",'Mapa final'!$O$83="Leve"),CONCATENATE("R",'Mapa final'!$A$83),"")</f>
        <v/>
      </c>
      <c r="O44" s="363"/>
      <c r="P44" s="364" t="str">
        <f ca="1">IF(AND('Mapa final'!$K$71="Muy Baja",'Mapa final'!$O$71="Menor"),CONCATENATE("R",'Mapa final'!$A$71),"")</f>
        <v/>
      </c>
      <c r="Q44" s="362"/>
      <c r="R44" s="362" t="str">
        <f>IF(AND('Mapa final'!$K$77="Muy Baja",'Mapa final'!$O$77="Menor"),CONCATENATE("R",'Mapa final'!$A$77),"")</f>
        <v/>
      </c>
      <c r="S44" s="362"/>
      <c r="T44" s="362" t="str">
        <f>IF(AND('Mapa final'!$K$83="Muy Baja",'Mapa final'!$O$83="Menor"),CONCATENATE("R",'Mapa final'!$A$83),"")</f>
        <v/>
      </c>
      <c r="U44" s="363"/>
      <c r="V44" s="353" t="str">
        <f ca="1">IF(AND('Mapa final'!$K$71="Muy Baja",'Mapa final'!$O$71="Moderado"),CONCATENATE("R",'Mapa final'!$A$71),"")</f>
        <v/>
      </c>
      <c r="W44" s="354"/>
      <c r="X44" s="354" t="str">
        <f>IF(AND('Mapa final'!$K$77="Muy Baja",'Mapa final'!$O$77="Moderado"),CONCATENATE("R",'Mapa final'!$A$77),"")</f>
        <v/>
      </c>
      <c r="Y44" s="354"/>
      <c r="Z44" s="354" t="str">
        <f>IF(AND('Mapa final'!$K$83="Muy Baja",'Mapa final'!$O$83="Moderado"),CONCATENATE("R",'Mapa final'!$A$83),"")</f>
        <v/>
      </c>
      <c r="AA44" s="355"/>
      <c r="AB44" s="336" t="str">
        <f ca="1">IF(AND('Mapa final'!$K$71="Muy Baja",'Mapa final'!$O$71="Mayor"),CONCATENATE("R",'Mapa final'!$A$71),"")</f>
        <v/>
      </c>
      <c r="AC44" s="333"/>
      <c r="AD44" s="331" t="str">
        <f>IF(AND('Mapa final'!$K$77="Muy Baja",'Mapa final'!$O$77="Mayor"),CONCATENATE("R",'Mapa final'!$A$77),"")</f>
        <v/>
      </c>
      <c r="AE44" s="331"/>
      <c r="AF44" s="331" t="str">
        <f>IF(AND('Mapa final'!$K$83="Muy Baja",'Mapa final'!$O$83="Mayor"),CONCATENATE("R",'Mapa final'!$A$83),"")</f>
        <v/>
      </c>
      <c r="AG44" s="332"/>
      <c r="AH44" s="344" t="str">
        <f ca="1">IF(AND('Mapa final'!$K$71="Muy Baja",'Mapa final'!$O$71="Catastrófico"),CONCATENATE("R",'Mapa final'!$A$71),"")</f>
        <v/>
      </c>
      <c r="AI44" s="345"/>
      <c r="AJ44" s="345" t="str">
        <f>IF(AND('Mapa final'!$K$77="Muy Baja",'Mapa final'!$O$77="Catastrófico"),CONCATENATE("R",'Mapa final'!$A$77),"")</f>
        <v/>
      </c>
      <c r="AK44" s="345"/>
      <c r="AL44" s="345" t="str">
        <f>IF(AND('Mapa final'!$K$83="Muy Baja",'Mapa final'!$O$83="Catastrófico"),CONCATENATE("R",'Mapa final'!$A$83),"")</f>
        <v/>
      </c>
      <c r="AM44" s="34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4"/>
      <c r="C45" s="284"/>
      <c r="D45" s="285"/>
      <c r="E45" s="328"/>
      <c r="F45" s="329"/>
      <c r="G45" s="329"/>
      <c r="H45" s="329"/>
      <c r="I45" s="330"/>
      <c r="J45" s="365"/>
      <c r="K45" s="366"/>
      <c r="L45" s="366"/>
      <c r="M45" s="366"/>
      <c r="N45" s="366"/>
      <c r="O45" s="367"/>
      <c r="P45" s="365"/>
      <c r="Q45" s="366"/>
      <c r="R45" s="366"/>
      <c r="S45" s="366"/>
      <c r="T45" s="366"/>
      <c r="U45" s="367"/>
      <c r="V45" s="356"/>
      <c r="W45" s="357"/>
      <c r="X45" s="357"/>
      <c r="Y45" s="357"/>
      <c r="Z45" s="357"/>
      <c r="AA45" s="358"/>
      <c r="AB45" s="341"/>
      <c r="AC45" s="342"/>
      <c r="AD45" s="342"/>
      <c r="AE45" s="342"/>
      <c r="AF45" s="342"/>
      <c r="AG45" s="343"/>
      <c r="AH45" s="347"/>
      <c r="AI45" s="348"/>
      <c r="AJ45" s="348"/>
      <c r="AK45" s="348"/>
      <c r="AL45" s="348"/>
      <c r="AM45" s="34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322" t="s">
        <v>104</v>
      </c>
      <c r="K46" s="323"/>
      <c r="L46" s="323"/>
      <c r="M46" s="323"/>
      <c r="N46" s="323"/>
      <c r="O46" s="324"/>
      <c r="P46" s="322" t="s">
        <v>103</v>
      </c>
      <c r="Q46" s="323"/>
      <c r="R46" s="323"/>
      <c r="S46" s="323"/>
      <c r="T46" s="323"/>
      <c r="U46" s="324"/>
      <c r="V46" s="322" t="s">
        <v>102</v>
      </c>
      <c r="W46" s="323"/>
      <c r="X46" s="323"/>
      <c r="Y46" s="323"/>
      <c r="Z46" s="323"/>
      <c r="AA46" s="324"/>
      <c r="AB46" s="322" t="s">
        <v>101</v>
      </c>
      <c r="AC46" s="340"/>
      <c r="AD46" s="323"/>
      <c r="AE46" s="323"/>
      <c r="AF46" s="323"/>
      <c r="AG46" s="324"/>
      <c r="AH46" s="322" t="s">
        <v>100</v>
      </c>
      <c r="AI46" s="323"/>
      <c r="AJ46" s="323"/>
      <c r="AK46" s="323"/>
      <c r="AL46" s="323"/>
      <c r="AM46" s="324"/>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325"/>
      <c r="K47" s="326"/>
      <c r="L47" s="326"/>
      <c r="M47" s="326"/>
      <c r="N47" s="326"/>
      <c r="O47" s="327"/>
      <c r="P47" s="325"/>
      <c r="Q47" s="326"/>
      <c r="R47" s="326"/>
      <c r="S47" s="326"/>
      <c r="T47" s="326"/>
      <c r="U47" s="327"/>
      <c r="V47" s="325"/>
      <c r="W47" s="326"/>
      <c r="X47" s="326"/>
      <c r="Y47" s="326"/>
      <c r="Z47" s="326"/>
      <c r="AA47" s="327"/>
      <c r="AB47" s="325"/>
      <c r="AC47" s="326"/>
      <c r="AD47" s="326"/>
      <c r="AE47" s="326"/>
      <c r="AF47" s="326"/>
      <c r="AG47" s="327"/>
      <c r="AH47" s="325"/>
      <c r="AI47" s="326"/>
      <c r="AJ47" s="326"/>
      <c r="AK47" s="326"/>
      <c r="AL47" s="326"/>
      <c r="AM47" s="327"/>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325"/>
      <c r="K48" s="326"/>
      <c r="L48" s="326"/>
      <c r="M48" s="326"/>
      <c r="N48" s="326"/>
      <c r="O48" s="327"/>
      <c r="P48" s="325"/>
      <c r="Q48" s="326"/>
      <c r="R48" s="326"/>
      <c r="S48" s="326"/>
      <c r="T48" s="326"/>
      <c r="U48" s="327"/>
      <c r="V48" s="325"/>
      <c r="W48" s="326"/>
      <c r="X48" s="326"/>
      <c r="Y48" s="326"/>
      <c r="Z48" s="326"/>
      <c r="AA48" s="327"/>
      <c r="AB48" s="325"/>
      <c r="AC48" s="326"/>
      <c r="AD48" s="326"/>
      <c r="AE48" s="326"/>
      <c r="AF48" s="326"/>
      <c r="AG48" s="327"/>
      <c r="AH48" s="325"/>
      <c r="AI48" s="326"/>
      <c r="AJ48" s="326"/>
      <c r="AK48" s="326"/>
      <c r="AL48" s="326"/>
      <c r="AM48" s="327"/>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325"/>
      <c r="K49" s="326"/>
      <c r="L49" s="326"/>
      <c r="M49" s="326"/>
      <c r="N49" s="326"/>
      <c r="O49" s="327"/>
      <c r="P49" s="325"/>
      <c r="Q49" s="326"/>
      <c r="R49" s="326"/>
      <c r="S49" s="326"/>
      <c r="T49" s="326"/>
      <c r="U49" s="327"/>
      <c r="V49" s="325"/>
      <c r="W49" s="326"/>
      <c r="X49" s="326"/>
      <c r="Y49" s="326"/>
      <c r="Z49" s="326"/>
      <c r="AA49" s="327"/>
      <c r="AB49" s="325"/>
      <c r="AC49" s="326"/>
      <c r="AD49" s="326"/>
      <c r="AE49" s="326"/>
      <c r="AF49" s="326"/>
      <c r="AG49" s="327"/>
      <c r="AH49" s="325"/>
      <c r="AI49" s="326"/>
      <c r="AJ49" s="326"/>
      <c r="AK49" s="326"/>
      <c r="AL49" s="326"/>
      <c r="AM49" s="327"/>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325"/>
      <c r="K50" s="326"/>
      <c r="L50" s="326"/>
      <c r="M50" s="326"/>
      <c r="N50" s="326"/>
      <c r="O50" s="327"/>
      <c r="P50" s="325"/>
      <c r="Q50" s="326"/>
      <c r="R50" s="326"/>
      <c r="S50" s="326"/>
      <c r="T50" s="326"/>
      <c r="U50" s="327"/>
      <c r="V50" s="325"/>
      <c r="W50" s="326"/>
      <c r="X50" s="326"/>
      <c r="Y50" s="326"/>
      <c r="Z50" s="326"/>
      <c r="AA50" s="327"/>
      <c r="AB50" s="325"/>
      <c r="AC50" s="326"/>
      <c r="AD50" s="326"/>
      <c r="AE50" s="326"/>
      <c r="AF50" s="326"/>
      <c r="AG50" s="327"/>
      <c r="AH50" s="325"/>
      <c r="AI50" s="326"/>
      <c r="AJ50" s="326"/>
      <c r="AK50" s="326"/>
      <c r="AL50" s="326"/>
      <c r="AM50" s="327"/>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328"/>
      <c r="K51" s="329"/>
      <c r="L51" s="329"/>
      <c r="M51" s="329"/>
      <c r="N51" s="329"/>
      <c r="O51" s="330"/>
      <c r="P51" s="328"/>
      <c r="Q51" s="329"/>
      <c r="R51" s="329"/>
      <c r="S51" s="329"/>
      <c r="T51" s="329"/>
      <c r="U51" s="330"/>
      <c r="V51" s="328"/>
      <c r="W51" s="329"/>
      <c r="X51" s="329"/>
      <c r="Y51" s="329"/>
      <c r="Z51" s="329"/>
      <c r="AA51" s="330"/>
      <c r="AB51" s="328"/>
      <c r="AC51" s="329"/>
      <c r="AD51" s="329"/>
      <c r="AE51" s="329"/>
      <c r="AF51" s="329"/>
      <c r="AG51" s="330"/>
      <c r="AH51" s="328"/>
      <c r="AI51" s="329"/>
      <c r="AJ51" s="329"/>
      <c r="AK51" s="329"/>
      <c r="AL51" s="329"/>
      <c r="AM51" s="330"/>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B2" sqref="B2:I4"/>
    </sheetView>
  </sheetViews>
  <sheetFormatPr baseColWidth="10" defaultRowHeight="15" x14ac:dyDescent="0.25"/>
  <cols>
    <col min="2" max="18" width="5.5703125" customWidth="1"/>
    <col min="19" max="19" width="8.42578125" customWidth="1"/>
    <col min="20" max="23" width="5.5703125" customWidth="1"/>
    <col min="24" max="24" width="8.42578125" customWidth="1"/>
    <col min="25" max="26" width="5.5703125" customWidth="1"/>
    <col min="27" max="27" width="10.5703125" customWidth="1"/>
    <col min="28" max="28" width="5.5703125" customWidth="1"/>
    <col min="29" max="29" width="7.42578125" customWidth="1"/>
    <col min="30" max="33" width="5.5703125" customWidth="1"/>
    <col min="34" max="34" width="8.42578125" customWidth="1"/>
    <col min="35" max="39" width="5.5703125" customWidth="1"/>
    <col min="41" max="46" width="5.570312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98" t="s">
        <v>142</v>
      </c>
      <c r="C2" s="399"/>
      <c r="D2" s="399"/>
      <c r="E2" s="399"/>
      <c r="F2" s="399"/>
      <c r="G2" s="399"/>
      <c r="H2" s="399"/>
      <c r="I2" s="399"/>
      <c r="J2" s="338" t="s">
        <v>2</v>
      </c>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99"/>
      <c r="C3" s="399"/>
      <c r="D3" s="399"/>
      <c r="E3" s="399"/>
      <c r="F3" s="399"/>
      <c r="G3" s="399"/>
      <c r="H3" s="399"/>
      <c r="I3" s="399"/>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99"/>
      <c r="C4" s="399"/>
      <c r="D4" s="399"/>
      <c r="E4" s="399"/>
      <c r="F4" s="399"/>
      <c r="G4" s="399"/>
      <c r="H4" s="399"/>
      <c r="I4" s="399"/>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4" t="s">
        <v>3</v>
      </c>
      <c r="C6" s="284"/>
      <c r="D6" s="285"/>
      <c r="E6" s="381" t="s">
        <v>108</v>
      </c>
      <c r="F6" s="382"/>
      <c r="G6" s="382"/>
      <c r="H6" s="382"/>
      <c r="I6" s="400"/>
      <c r="J6" s="45" t="str">
        <f ca="1">IF(AND('Mapa final'!$AB$11="Muy Alta",'Mapa final'!$AD$11="Leve"),CONCATENATE("R1C",'Mapa final'!$R$11),"")</f>
        <v/>
      </c>
      <c r="K6" s="46" t="str">
        <f ca="1">IF(AND('Mapa final'!$AB$12="Muy Alta",'Mapa final'!$AD$12="Leve"),CONCATENATE("R1C",'Mapa final'!$R$12),"")</f>
        <v/>
      </c>
      <c r="L6" s="46" t="str">
        <f>IF(AND('Mapa final'!$AB$13="Muy Alta",'Mapa final'!$AD$13="Leve"),CONCATENATE("R1C",'Mapa final'!$R$13),"")</f>
        <v/>
      </c>
      <c r="M6" s="46" t="str">
        <f>IF(AND('Mapa final'!$AB$14="Muy Alta",'Mapa final'!$AD$14="Leve"),CONCATENATE("R1C",'Mapa final'!$R$14),"")</f>
        <v/>
      </c>
      <c r="N6" s="46" t="str">
        <f>IF(AND('Mapa final'!$AB$15="Muy Alta",'Mapa final'!$AD$15="Leve"),CONCATENATE("R1C",'Mapa final'!$R$15),"")</f>
        <v/>
      </c>
      <c r="O6" s="47" t="str">
        <f>IF(AND('Mapa final'!$AB$16="Muy Alta",'Mapa final'!$AD$16="Leve"),CONCATENATE("R1C",'Mapa final'!$R$16),"")</f>
        <v/>
      </c>
      <c r="P6" s="45" t="str">
        <f ca="1">IF(AND('Mapa final'!$AB$11="Muy Alta",'Mapa final'!$AD$11="Menor"),CONCATENATE("R1C",'Mapa final'!$R$11),"")</f>
        <v/>
      </c>
      <c r="Q6" s="46" t="str">
        <f ca="1">IF(AND('Mapa final'!$AB$12="Muy Alta",'Mapa final'!$AD$12="Menor"),CONCATENATE("R1C",'Mapa final'!$R$12),"")</f>
        <v/>
      </c>
      <c r="R6" s="46" t="str">
        <f>IF(AND('Mapa final'!$AB$13="Muy Alta",'Mapa final'!$AD$13="Menor"),CONCATENATE("R1C",'Mapa final'!$R$13),"")</f>
        <v/>
      </c>
      <c r="S6" s="46" t="str">
        <f>IF(AND('Mapa final'!$AB$14="Muy Alta",'Mapa final'!$AD$14="Menor"),CONCATENATE("R1C",'Mapa final'!$R$14),"")</f>
        <v/>
      </c>
      <c r="T6" s="46" t="str">
        <f>IF(AND('Mapa final'!$AB$15="Muy Alta",'Mapa final'!$AD$15="Menor"),CONCATENATE("R1C",'Mapa final'!$R$15),"")</f>
        <v/>
      </c>
      <c r="U6" s="47" t="str">
        <f>IF(AND('Mapa final'!$AB$16="Muy Alta",'Mapa final'!$AD$16="Menor"),CONCATENATE("R1C",'Mapa final'!$R$16),"")</f>
        <v/>
      </c>
      <c r="V6" s="45" t="str">
        <f ca="1">IF(AND('Mapa final'!$AB$11="Muy Alta",'Mapa final'!$AD$11="Moderado"),CONCATENATE("R1C",'Mapa final'!$R$11),"")</f>
        <v/>
      </c>
      <c r="W6" s="46" t="str">
        <f ca="1">IF(AND('Mapa final'!$AB$12="Muy Alta",'Mapa final'!$AD$12="Moderado"),CONCATENATE("R1C",'Mapa final'!$R$12),"")</f>
        <v/>
      </c>
      <c r="X6" s="46" t="str">
        <f>IF(AND('Mapa final'!$AB$13="Muy Alta",'Mapa final'!$AD$13="Moderado"),CONCATENATE("R1C",'Mapa final'!$R$13),"")</f>
        <v/>
      </c>
      <c r="Y6" s="46" t="str">
        <f>IF(AND('Mapa final'!$AB$14="Muy Alta",'Mapa final'!$AD$14="Moderado"),CONCATENATE("R1C",'Mapa final'!$R$14),"")</f>
        <v/>
      </c>
      <c r="Z6" s="46" t="str">
        <f>IF(AND('Mapa final'!$AB$15="Muy Alta",'Mapa final'!$AD$15="Moderado"),CONCATENATE("R1C",'Mapa final'!$R$15),"")</f>
        <v/>
      </c>
      <c r="AA6" s="47" t="str">
        <f>IF(AND('Mapa final'!$AB$16="Muy Alta",'Mapa final'!$AD$16="Moderado"),CONCATENATE("R1C",'Mapa final'!$R$16),"")</f>
        <v/>
      </c>
      <c r="AB6" s="45" t="str">
        <f ca="1">IF(AND('Mapa final'!$AB$11="Muy Alta",'Mapa final'!$AD$11="Mayor"),CONCATENATE("R1C",'Mapa final'!$R$11),"")</f>
        <v/>
      </c>
      <c r="AC6" s="46" t="str">
        <f ca="1">IF(AND('Mapa final'!$AB$12="Muy Alta",'Mapa final'!$AD$12="Mayor"),CONCATENATE("R1C",'Mapa final'!$R$12),"")</f>
        <v/>
      </c>
      <c r="AD6" s="46" t="str">
        <f>IF(AND('Mapa final'!$AB$13="Muy Alta",'Mapa final'!$AD$13="Mayor"),CONCATENATE("R1C",'Mapa final'!$R$13),"")</f>
        <v/>
      </c>
      <c r="AE6" s="46" t="str">
        <f>IF(AND('Mapa final'!$AB$14="Muy Alta",'Mapa final'!$AD$14="Mayor"),CONCATENATE("R1C",'Mapa final'!$R$14),"")</f>
        <v/>
      </c>
      <c r="AF6" s="46" t="str">
        <f>IF(AND('Mapa final'!$AB$15="Muy Alta",'Mapa final'!$AD$15="Mayor"),CONCATENATE("R1C",'Mapa final'!$R$15),"")</f>
        <v/>
      </c>
      <c r="AG6" s="47" t="str">
        <f>IF(AND('Mapa final'!$AB$16="Muy Alta",'Mapa final'!$AD$16="Mayor"),CONCATENATE("R1C",'Mapa final'!$R$16),"")</f>
        <v/>
      </c>
      <c r="AH6" s="48" t="str">
        <f ca="1">IF(AND('Mapa final'!$AB$11="Muy Alta",'Mapa final'!$AD$11="Catastrófico"),CONCATENATE("R1C",'Mapa final'!$R$11),"")</f>
        <v/>
      </c>
      <c r="AI6" s="49" t="str">
        <f ca="1">IF(AND('Mapa final'!$AB$12="Muy Alta",'Mapa final'!$AD$12="Catastrófico"),CONCATENATE("R1C",'Mapa final'!$R$12),"")</f>
        <v/>
      </c>
      <c r="AJ6" s="49" t="str">
        <f>IF(AND('Mapa final'!$AB$13="Muy Alta",'Mapa final'!$AD$13="Catastrófico"),CONCATENATE("R1C",'Mapa final'!$R$13),"")</f>
        <v/>
      </c>
      <c r="AK6" s="49" t="str">
        <f>IF(AND('Mapa final'!$AB$14="Muy Alta",'Mapa final'!$AD$14="Catastrófico"),CONCATENATE("R1C",'Mapa final'!$R$14),"")</f>
        <v/>
      </c>
      <c r="AL6" s="49" t="str">
        <f>IF(AND('Mapa final'!$AB$15="Muy Alta",'Mapa final'!$AD$15="Catastrófico"),CONCATENATE("R1C",'Mapa final'!$R$15),"")</f>
        <v/>
      </c>
      <c r="AM6" s="50" t="str">
        <f>IF(AND('Mapa final'!$AB$16="Muy Alta",'Mapa final'!$AD$16="Catastrófico"),CONCATENATE("R1C",'Mapa final'!$R$16),"")</f>
        <v/>
      </c>
      <c r="AN6" s="83"/>
      <c r="AO6" s="389" t="s">
        <v>76</v>
      </c>
      <c r="AP6" s="390"/>
      <c r="AQ6" s="390"/>
      <c r="AR6" s="390"/>
      <c r="AS6" s="390"/>
      <c r="AT6" s="39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4"/>
      <c r="C7" s="284"/>
      <c r="D7" s="285"/>
      <c r="E7" s="385"/>
      <c r="F7" s="386"/>
      <c r="G7" s="386"/>
      <c r="H7" s="386"/>
      <c r="I7" s="401"/>
      <c r="J7" s="51" t="str">
        <f ca="1">IF(AND('Mapa final'!$AB$17="Muy Alta",'Mapa final'!$AD$17="Leve"),CONCATENATE("R2C",'Mapa final'!$R$17),"")</f>
        <v/>
      </c>
      <c r="K7" s="52" t="str">
        <f ca="1">IF(AND('Mapa final'!$AB$18="Muy Alta",'Mapa final'!$AD$18="Leve"),CONCATENATE("R2C",'Mapa final'!$R$18),"")</f>
        <v/>
      </c>
      <c r="L7" s="52" t="str">
        <f ca="1">IF(AND('Mapa final'!$AB$19="Muy Alta",'Mapa final'!$AD$19="Leve"),CONCATENATE("R2C",'Mapa final'!$R$19),"")</f>
        <v/>
      </c>
      <c r="M7" s="52" t="str">
        <f>IF(AND('Mapa final'!$AB$20="Muy Alta",'Mapa final'!$AD$20="Leve"),CONCATENATE("R2C",'Mapa final'!$R$20),"")</f>
        <v/>
      </c>
      <c r="N7" s="52" t="str">
        <f>IF(AND('Mapa final'!$AB$21="Muy Alta",'Mapa final'!$AD$21="Leve"),CONCATENATE("R2C",'Mapa final'!$R$21),"")</f>
        <v/>
      </c>
      <c r="O7" s="53" t="str">
        <f>IF(AND('Mapa final'!$AB$22="Muy Alta",'Mapa final'!$AD$22="Leve"),CONCATENATE("R2C",'Mapa final'!$R$22),"")</f>
        <v/>
      </c>
      <c r="P7" s="51" t="str">
        <f ca="1">IF(AND('Mapa final'!$AB$17="Muy Alta",'Mapa final'!$AD$17="Menor"),CONCATENATE("R2C",'Mapa final'!$R$17),"")</f>
        <v/>
      </c>
      <c r="Q7" s="52" t="str">
        <f ca="1">IF(AND('Mapa final'!$AB$18="Muy Alta",'Mapa final'!$AD$18="Menor"),CONCATENATE("R2C",'Mapa final'!$R$18),"")</f>
        <v/>
      </c>
      <c r="R7" s="52" t="str">
        <f ca="1">IF(AND('Mapa final'!$AB$19="Muy Alta",'Mapa final'!$AD$19="Menor"),CONCATENATE("R2C",'Mapa final'!$R$19),"")</f>
        <v/>
      </c>
      <c r="S7" s="52" t="str">
        <f>IF(AND('Mapa final'!$AB$20="Muy Alta",'Mapa final'!$AD$20="Menor"),CONCATENATE("R2C",'Mapa final'!$R$20),"")</f>
        <v/>
      </c>
      <c r="T7" s="52" t="str">
        <f>IF(AND('Mapa final'!$AB$21="Muy Alta",'Mapa final'!$AD$21="Menor"),CONCATENATE("R2C",'Mapa final'!$R$21),"")</f>
        <v/>
      </c>
      <c r="U7" s="53" t="str">
        <f>IF(AND('Mapa final'!$AB$22="Muy Alta",'Mapa final'!$AD$22="Menor"),CONCATENATE("R2C",'Mapa final'!$R$22),"")</f>
        <v/>
      </c>
      <c r="V7" s="51" t="str">
        <f ca="1">IF(AND('Mapa final'!$AB$17="Muy Alta",'Mapa final'!$AD$17="Moderado"),CONCATENATE("R2C",'Mapa final'!$R$17),"")</f>
        <v/>
      </c>
      <c r="W7" s="52" t="str">
        <f ca="1">IF(AND('Mapa final'!$AB$18="Muy Alta",'Mapa final'!$AD$18="Moderado"),CONCATENATE("R2C",'Mapa final'!$R$18),"")</f>
        <v/>
      </c>
      <c r="X7" s="52" t="str">
        <f ca="1">IF(AND('Mapa final'!$AB$19="Muy Alta",'Mapa final'!$AD$19="Moderado"),CONCATENATE("R2C",'Mapa final'!$R$19),"")</f>
        <v/>
      </c>
      <c r="Y7" s="52" t="str">
        <f>IF(AND('Mapa final'!$AB$20="Muy Alta",'Mapa final'!$AD$20="Moderado"),CONCATENATE("R2C",'Mapa final'!$R$20),"")</f>
        <v/>
      </c>
      <c r="Z7" s="52" t="str">
        <f>IF(AND('Mapa final'!$AB$21="Muy Alta",'Mapa final'!$AD$21="Moderado"),CONCATENATE("R2C",'Mapa final'!$R$21),"")</f>
        <v/>
      </c>
      <c r="AA7" s="53" t="str">
        <f>IF(AND('Mapa final'!$AB$22="Muy Alta",'Mapa final'!$AD$22="Moderado"),CONCATENATE("R2C",'Mapa final'!$R$22),"")</f>
        <v/>
      </c>
      <c r="AB7" s="51" t="str">
        <f ca="1">IF(AND('Mapa final'!$AB$17="Muy Alta",'Mapa final'!$AD$17="Mayor"),CONCATENATE("R2C",'Mapa final'!$R$17),"")</f>
        <v/>
      </c>
      <c r="AC7" s="52" t="str">
        <f ca="1">IF(AND('Mapa final'!$AB$18="Muy Alta",'Mapa final'!$AD$18="Mayor"),CONCATENATE("R2C",'Mapa final'!$R$18),"")</f>
        <v/>
      </c>
      <c r="AD7" s="52" t="str">
        <f ca="1">IF(AND('Mapa final'!$AB$19="Muy Alta",'Mapa final'!$AD$19="Mayor"),CONCATENATE("R2C",'Mapa final'!$R$19),"")</f>
        <v/>
      </c>
      <c r="AE7" s="52" t="str">
        <f>IF(AND('Mapa final'!$AB$20="Muy Alta",'Mapa final'!$AD$20="Mayor"),CONCATENATE("R2C",'Mapa final'!$R$20),"")</f>
        <v/>
      </c>
      <c r="AF7" s="52" t="str">
        <f>IF(AND('Mapa final'!$AB$21="Muy Alta",'Mapa final'!$AD$21="Mayor"),CONCATENATE("R2C",'Mapa final'!$R$21),"")</f>
        <v/>
      </c>
      <c r="AG7" s="53" t="str">
        <f>IF(AND('Mapa final'!$AB$22="Muy Alta",'Mapa final'!$AD$22="Mayor"),CONCATENATE("R2C",'Mapa final'!$R$22),"")</f>
        <v/>
      </c>
      <c r="AH7" s="54" t="str">
        <f ca="1">IF(AND('Mapa final'!$AB$17="Muy Alta",'Mapa final'!$AD$17="Catastrófico"),CONCATENATE("R2C",'Mapa final'!$R$17),"")</f>
        <v/>
      </c>
      <c r="AI7" s="55" t="str">
        <f ca="1">IF(AND('Mapa final'!$AB$18="Muy Alta",'Mapa final'!$AD$18="Catastrófico"),CONCATENATE("R2C",'Mapa final'!$R$18),"")</f>
        <v/>
      </c>
      <c r="AJ7" s="55" t="str">
        <f ca="1">IF(AND('Mapa final'!$AB$19="Muy Alta",'Mapa final'!$AD$19="Catastrófico"),CONCATENATE("R2C",'Mapa final'!$R$19),"")</f>
        <v/>
      </c>
      <c r="AK7" s="55" t="str">
        <f>IF(AND('Mapa final'!$AB$20="Muy Alta",'Mapa final'!$AD$20="Catastrófico"),CONCATENATE("R2C",'Mapa final'!$R$20),"")</f>
        <v/>
      </c>
      <c r="AL7" s="55" t="str">
        <f>IF(AND('Mapa final'!$AB$21="Muy Alta",'Mapa final'!$AD$21="Catastrófico"),CONCATENATE("R2C",'Mapa final'!$R$21),"")</f>
        <v/>
      </c>
      <c r="AM7" s="56" t="str">
        <f>IF(AND('Mapa final'!$AB$22="Muy Alta",'Mapa final'!$AD$22="Catastrófico"),CONCATENATE("R2C",'Mapa final'!$R$22),"")</f>
        <v/>
      </c>
      <c r="AN7" s="83"/>
      <c r="AO7" s="392"/>
      <c r="AP7" s="393"/>
      <c r="AQ7" s="393"/>
      <c r="AR7" s="393"/>
      <c r="AS7" s="393"/>
      <c r="AT7" s="39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4"/>
      <c r="C8" s="284"/>
      <c r="D8" s="285"/>
      <c r="E8" s="385"/>
      <c r="F8" s="386"/>
      <c r="G8" s="386"/>
      <c r="H8" s="386"/>
      <c r="I8" s="401"/>
      <c r="J8" s="51" t="str">
        <f ca="1">IF(AND('Mapa final'!$AB$23="Muy Alta",'Mapa final'!$AD$23="Leve"),CONCATENATE("R3C",'Mapa final'!$R$23),"")</f>
        <v/>
      </c>
      <c r="K8" s="52" t="str">
        <f ca="1">IF(AND('Mapa final'!$AB$24="Muy Alta",'Mapa final'!$AD$24="Leve"),CONCATENATE("R3C",'Mapa final'!$R$24),"")</f>
        <v/>
      </c>
      <c r="L8" s="52" t="str">
        <f ca="1">IF(AND('Mapa final'!$AB$25="Muy Alta",'Mapa final'!$AD$25="Leve"),CONCATENATE("R3C",'Mapa final'!$R$25),"")</f>
        <v/>
      </c>
      <c r="M8" s="52" t="str">
        <f ca="1">IF(AND('Mapa final'!$AB$26="Muy Alta",'Mapa final'!$AD$26="Leve"),CONCATENATE("R3C",'Mapa final'!$R$26),"")</f>
        <v/>
      </c>
      <c r="N8" s="52" t="str">
        <f ca="1">IF(AND('Mapa final'!$AB$27="Muy Alta",'Mapa final'!$AD$27="Leve"),CONCATENATE("R3C",'Mapa final'!$R$27),"")</f>
        <v/>
      </c>
      <c r="O8" s="53" t="str">
        <f>IF(AND('Mapa final'!$AB$28="Muy Alta",'Mapa final'!$AD$28="Leve"),CONCATENATE("R3C",'Mapa final'!$R$28),"")</f>
        <v/>
      </c>
      <c r="P8" s="51" t="str">
        <f ca="1">IF(AND('Mapa final'!$AB$23="Muy Alta",'Mapa final'!$AD$23="Menor"),CONCATENATE("R3C",'Mapa final'!$R$23),"")</f>
        <v/>
      </c>
      <c r="Q8" s="52" t="str">
        <f ca="1">IF(AND('Mapa final'!$AB$24="Muy Alta",'Mapa final'!$AD$24="Menor"),CONCATENATE("R3C",'Mapa final'!$R$24),"")</f>
        <v/>
      </c>
      <c r="R8" s="52" t="str">
        <f ca="1">IF(AND('Mapa final'!$AB$25="Muy Alta",'Mapa final'!$AD$25="Menor"),CONCATENATE("R3C",'Mapa final'!$R$25),"")</f>
        <v/>
      </c>
      <c r="S8" s="52" t="str">
        <f ca="1">IF(AND('Mapa final'!$AB$26="Muy Alta",'Mapa final'!$AD$26="Menor"),CONCATENATE("R3C",'Mapa final'!$R$26),"")</f>
        <v/>
      </c>
      <c r="T8" s="52" t="str">
        <f ca="1">IF(AND('Mapa final'!$AB$27="Muy Alta",'Mapa final'!$AD$27="Menor"),CONCATENATE("R3C",'Mapa final'!$R$27),"")</f>
        <v/>
      </c>
      <c r="U8" s="53" t="str">
        <f>IF(AND('Mapa final'!$AB$28="Muy Alta",'Mapa final'!$AD$28="Menor"),CONCATENATE("R3C",'Mapa final'!$R$28),"")</f>
        <v/>
      </c>
      <c r="V8" s="51" t="str">
        <f ca="1">IF(AND('Mapa final'!$AB$23="Muy Alta",'Mapa final'!$AD$23="Moderado"),CONCATENATE("R3C",'Mapa final'!$R$23),"")</f>
        <v/>
      </c>
      <c r="W8" s="52" t="str">
        <f ca="1">IF(AND('Mapa final'!$AB$24="Muy Alta",'Mapa final'!$AD$24="Moderado"),CONCATENATE("R3C",'Mapa final'!$R$24),"")</f>
        <v/>
      </c>
      <c r="X8" s="52" t="str">
        <f ca="1">IF(AND('Mapa final'!$AB$25="Muy Alta",'Mapa final'!$AD$25="Moderado"),CONCATENATE("R3C",'Mapa final'!$R$25),"")</f>
        <v/>
      </c>
      <c r="Y8" s="52" t="str">
        <f ca="1">IF(AND('Mapa final'!$AB$26="Muy Alta",'Mapa final'!$AD$26="Moderado"),CONCATENATE("R3C",'Mapa final'!$R$26),"")</f>
        <v/>
      </c>
      <c r="Z8" s="52" t="str">
        <f ca="1">IF(AND('Mapa final'!$AB$27="Muy Alta",'Mapa final'!$AD$27="Moderado"),CONCATENATE("R3C",'Mapa final'!$R$27),"")</f>
        <v/>
      </c>
      <c r="AA8" s="53" t="str">
        <f>IF(AND('Mapa final'!$AB$28="Muy Alta",'Mapa final'!$AD$28="Moderado"),CONCATENATE("R3C",'Mapa final'!$R$28),"")</f>
        <v/>
      </c>
      <c r="AB8" s="51" t="str">
        <f ca="1">IF(AND('Mapa final'!$AB$23="Muy Alta",'Mapa final'!$AD$23="Mayor"),CONCATENATE("R3C",'Mapa final'!$R$23),"")</f>
        <v/>
      </c>
      <c r="AC8" s="52" t="str">
        <f ca="1">IF(AND('Mapa final'!$AB$24="Muy Alta",'Mapa final'!$AD$24="Mayor"),CONCATENATE("R3C",'Mapa final'!$R$24),"")</f>
        <v/>
      </c>
      <c r="AD8" s="52" t="str">
        <f ca="1">IF(AND('Mapa final'!$AB$25="Muy Alta",'Mapa final'!$AD$25="Mayor"),CONCATENATE("R3C",'Mapa final'!$R$25),"")</f>
        <v/>
      </c>
      <c r="AE8" s="52" t="str">
        <f ca="1">IF(AND('Mapa final'!$AB$26="Muy Alta",'Mapa final'!$AD$26="Mayor"),CONCATENATE("R3C",'Mapa final'!$R$26),"")</f>
        <v/>
      </c>
      <c r="AF8" s="52" t="str">
        <f ca="1">IF(AND('Mapa final'!$AB$27="Muy Alta",'Mapa final'!$AD$27="Mayor"),CONCATENATE("R3C",'Mapa final'!$R$27),"")</f>
        <v/>
      </c>
      <c r="AG8" s="53" t="str">
        <f>IF(AND('Mapa final'!$AB$28="Muy Alta",'Mapa final'!$AD$28="Mayor"),CONCATENATE("R3C",'Mapa final'!$R$28),"")</f>
        <v/>
      </c>
      <c r="AH8" s="54" t="str">
        <f ca="1">IF(AND('Mapa final'!$AB$23="Muy Alta",'Mapa final'!$AD$23="Catastrófico"),CONCATENATE("R3C",'Mapa final'!$R$23),"")</f>
        <v/>
      </c>
      <c r="AI8" s="55" t="str">
        <f ca="1">IF(AND('Mapa final'!$AB$24="Muy Alta",'Mapa final'!$AD$24="Catastrófico"),CONCATENATE("R3C",'Mapa final'!$R$24),"")</f>
        <v/>
      </c>
      <c r="AJ8" s="55" t="str">
        <f ca="1">IF(AND('Mapa final'!$AB$25="Muy Alta",'Mapa final'!$AD$25="Catastrófico"),CONCATENATE("R3C",'Mapa final'!$R$25),"")</f>
        <v/>
      </c>
      <c r="AK8" s="55" t="str">
        <f ca="1">IF(AND('Mapa final'!$AB$26="Muy Alta",'Mapa final'!$AD$26="Catastrófico"),CONCATENATE("R3C",'Mapa final'!$R$26),"")</f>
        <v/>
      </c>
      <c r="AL8" s="55" t="str">
        <f ca="1">IF(AND('Mapa final'!$AB$27="Muy Alta",'Mapa final'!$AD$27="Catastrófico"),CONCATENATE("R3C",'Mapa final'!$R$27),"")</f>
        <v/>
      </c>
      <c r="AM8" s="56" t="str">
        <f>IF(AND('Mapa final'!$AB$28="Muy Alta",'Mapa final'!$AD$28="Catastrófico"),CONCATENATE("R3C",'Mapa final'!$R$28),"")</f>
        <v/>
      </c>
      <c r="AN8" s="83"/>
      <c r="AO8" s="392"/>
      <c r="AP8" s="393"/>
      <c r="AQ8" s="393"/>
      <c r="AR8" s="393"/>
      <c r="AS8" s="393"/>
      <c r="AT8" s="39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4"/>
      <c r="C9" s="284"/>
      <c r="D9" s="285"/>
      <c r="E9" s="385"/>
      <c r="F9" s="386"/>
      <c r="G9" s="386"/>
      <c r="H9" s="386"/>
      <c r="I9" s="401"/>
      <c r="J9" s="51" t="str">
        <f ca="1">IF(AND('Mapa final'!$AB$29="Muy Alta",'Mapa final'!$AD$29="Leve"),CONCATENATE("R4C",'Mapa final'!$R$29),"")</f>
        <v/>
      </c>
      <c r="K9" s="52" t="str">
        <f ca="1">IF(AND('Mapa final'!$AB$30="Muy Alta",'Mapa final'!$AD$30="Leve"),CONCATENATE("R4C",'Mapa final'!$R$30),"")</f>
        <v/>
      </c>
      <c r="L9" s="57" t="str">
        <f ca="1">IF(AND('Mapa final'!$AB$31="Muy Alta",'Mapa final'!$AD$31="Leve"),CONCATENATE("R4C",'Mapa final'!$R$31),"")</f>
        <v/>
      </c>
      <c r="M9" s="57" t="str">
        <f ca="1">IF(AND('Mapa final'!$AB$32="Muy Alta",'Mapa final'!$AD$32="Leve"),CONCATENATE("R4C",'Mapa final'!$R$32),"")</f>
        <v/>
      </c>
      <c r="N9" s="57" t="str">
        <f>IF(AND('Mapa final'!$AB$33="Muy Alta",'Mapa final'!$AD$33="Leve"),CONCATENATE("R4C",'Mapa final'!$R$33),"")</f>
        <v/>
      </c>
      <c r="O9" s="53" t="str">
        <f>IF(AND('Mapa final'!$AB$34="Muy Alta",'Mapa final'!$AD$34="Leve"),CONCATENATE("R4C",'Mapa final'!$R$34),"")</f>
        <v/>
      </c>
      <c r="P9" s="51" t="str">
        <f ca="1">IF(AND('Mapa final'!$AB$29="Muy Alta",'Mapa final'!$AD$29="Menor"),CONCATENATE("R4C",'Mapa final'!$R$29),"")</f>
        <v/>
      </c>
      <c r="Q9" s="52" t="str">
        <f ca="1">IF(AND('Mapa final'!$AB$30="Muy Alta",'Mapa final'!$AD$30="Menor"),CONCATENATE("R4C",'Mapa final'!$R$30),"")</f>
        <v/>
      </c>
      <c r="R9" s="57" t="str">
        <f ca="1">IF(AND('Mapa final'!$AB$31="Muy Alta",'Mapa final'!$AD$31="Menor"),CONCATENATE("R4C",'Mapa final'!$R$31),"")</f>
        <v/>
      </c>
      <c r="S9" s="57" t="str">
        <f ca="1">IF(AND('Mapa final'!$AB$32="Muy Alta",'Mapa final'!$AD$32="Menor"),CONCATENATE("R4C",'Mapa final'!$R$32),"")</f>
        <v/>
      </c>
      <c r="T9" s="57" t="str">
        <f>IF(AND('Mapa final'!$AB$33="Muy Alta",'Mapa final'!$AD$33="Menor"),CONCATENATE("R4C",'Mapa final'!$R$33),"")</f>
        <v/>
      </c>
      <c r="U9" s="53" t="str">
        <f>IF(AND('Mapa final'!$AB$34="Muy Alta",'Mapa final'!$AD$34="Menor"),CONCATENATE("R4C",'Mapa final'!$R$34),"")</f>
        <v/>
      </c>
      <c r="V9" s="51" t="str">
        <f ca="1">IF(AND('Mapa final'!$AB$29="Muy Alta",'Mapa final'!$AD$29="Moderado"),CONCATENATE("R4C",'Mapa final'!$R$29),"")</f>
        <v/>
      </c>
      <c r="W9" s="52" t="str">
        <f ca="1">IF(AND('Mapa final'!$AB$30="Muy Alta",'Mapa final'!$AD$30="Moderado"),CONCATENATE("R4C",'Mapa final'!$R$30),"")</f>
        <v/>
      </c>
      <c r="X9" s="57" t="str">
        <f ca="1">IF(AND('Mapa final'!$AB$31="Muy Alta",'Mapa final'!$AD$31="Moderado"),CONCATENATE("R4C",'Mapa final'!$R$31),"")</f>
        <v/>
      </c>
      <c r="Y9" s="57" t="str">
        <f ca="1">IF(AND('Mapa final'!$AB$32="Muy Alta",'Mapa final'!$AD$32="Moderado"),CONCATENATE("R4C",'Mapa final'!$R$32),"")</f>
        <v/>
      </c>
      <c r="Z9" s="57" t="str">
        <f>IF(AND('Mapa final'!$AB$33="Muy Alta",'Mapa final'!$AD$33="Moderado"),CONCATENATE("R4C",'Mapa final'!$R$33),"")</f>
        <v/>
      </c>
      <c r="AA9" s="53" t="str">
        <f>IF(AND('Mapa final'!$AB$34="Muy Alta",'Mapa final'!$AD$34="Moderado"),CONCATENATE("R4C",'Mapa final'!$R$34),"")</f>
        <v/>
      </c>
      <c r="AB9" s="51" t="str">
        <f ca="1">IF(AND('Mapa final'!$AB$29="Muy Alta",'Mapa final'!$AD$29="Mayor"),CONCATENATE("R4C",'Mapa final'!$R$29),"")</f>
        <v/>
      </c>
      <c r="AC9" s="52" t="str">
        <f ca="1">IF(AND('Mapa final'!$AB$30="Muy Alta",'Mapa final'!$AD$30="Mayor"),CONCATENATE("R4C",'Mapa final'!$R$30),"")</f>
        <v/>
      </c>
      <c r="AD9" s="57" t="str">
        <f ca="1">IF(AND('Mapa final'!$AB$31="Muy Alta",'Mapa final'!$AD$31="Mayor"),CONCATENATE("R4C",'Mapa final'!$R$31),"")</f>
        <v/>
      </c>
      <c r="AE9" s="57" t="str">
        <f ca="1">IF(AND('Mapa final'!$AB$32="Muy Alta",'Mapa final'!$AD$32="Mayor"),CONCATENATE("R4C",'Mapa final'!$R$32),"")</f>
        <v/>
      </c>
      <c r="AF9" s="57" t="str">
        <f>IF(AND('Mapa final'!$AB$33="Muy Alta",'Mapa final'!$AD$33="Mayor"),CONCATENATE("R4C",'Mapa final'!$R$33),"")</f>
        <v/>
      </c>
      <c r="AG9" s="53" t="str">
        <f>IF(AND('Mapa final'!$AB$34="Muy Alta",'Mapa final'!$AD$34="Mayor"),CONCATENATE("R4C",'Mapa final'!$R$34),"")</f>
        <v/>
      </c>
      <c r="AH9" s="54" t="str">
        <f ca="1">IF(AND('Mapa final'!$AB$29="Muy Alta",'Mapa final'!$AD$29="Catastrófico"),CONCATENATE("R4C",'Mapa final'!$R$29),"")</f>
        <v/>
      </c>
      <c r="AI9" s="55" t="str">
        <f ca="1">IF(AND('Mapa final'!$AB$30="Muy Alta",'Mapa final'!$AD$30="Catastrófico"),CONCATENATE("R4C",'Mapa final'!$R$30),"")</f>
        <v/>
      </c>
      <c r="AJ9" s="55" t="str">
        <f ca="1">IF(AND('Mapa final'!$AB$31="Muy Alta",'Mapa final'!$AD$31="Catastrófico"),CONCATENATE("R4C",'Mapa final'!$R$31),"")</f>
        <v/>
      </c>
      <c r="AK9" s="55" t="str">
        <f ca="1">IF(AND('Mapa final'!$AB$32="Muy Alta",'Mapa final'!$AD$32="Catastrófico"),CONCATENATE("R4C",'Mapa final'!$R$32),"")</f>
        <v/>
      </c>
      <c r="AL9" s="55" t="str">
        <f>IF(AND('Mapa final'!$AB$33="Muy Alta",'Mapa final'!$AD$33="Catastrófico"),CONCATENATE("R4C",'Mapa final'!$R$33),"")</f>
        <v/>
      </c>
      <c r="AM9" s="56" t="str">
        <f>IF(AND('Mapa final'!$AB$34="Muy Alta",'Mapa final'!$AD$34="Catastrófico"),CONCATENATE("R4C",'Mapa final'!$R$34),"")</f>
        <v/>
      </c>
      <c r="AN9" s="83"/>
      <c r="AO9" s="392"/>
      <c r="AP9" s="393"/>
      <c r="AQ9" s="393"/>
      <c r="AR9" s="393"/>
      <c r="AS9" s="393"/>
      <c r="AT9" s="39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4"/>
      <c r="C10" s="284"/>
      <c r="D10" s="285"/>
      <c r="E10" s="385"/>
      <c r="F10" s="386"/>
      <c r="G10" s="386"/>
      <c r="H10" s="386"/>
      <c r="I10" s="401"/>
      <c r="J10" s="51" t="str">
        <f ca="1">IF(AND('Mapa final'!$AB$41="Muy Alta",'Mapa final'!$AD$41="Leve"),CONCATENATE("R5C",'Mapa final'!$R$41),"")</f>
        <v/>
      </c>
      <c r="K10" s="52" t="str">
        <f ca="1">IF(AND('Mapa final'!$AB$42="Muy Alta",'Mapa final'!$AD$42="Leve"),CONCATENATE("R5C",'Mapa final'!$R$42),"")</f>
        <v/>
      </c>
      <c r="L10" s="57" t="str">
        <f ca="1">IF(AND('Mapa final'!$AB$43="Muy Alta",'Mapa final'!$AD$43="Leve"),CONCATENATE("R5C",'Mapa final'!$R$43),"")</f>
        <v/>
      </c>
      <c r="M10" s="57" t="str">
        <f ca="1">IF(AND('Mapa final'!$AB$44="Muy Alta",'Mapa final'!$AD$44="Leve"),CONCATENATE("R5C",'Mapa final'!$R$44),"")</f>
        <v/>
      </c>
      <c r="N10" s="57" t="str">
        <f>IF(AND('Mapa final'!$AB$45="Muy Alta",'Mapa final'!$AD$45="Leve"),CONCATENATE("R5C",'Mapa final'!$R$45),"")</f>
        <v/>
      </c>
      <c r="O10" s="53" t="str">
        <f>IF(AND('Mapa final'!$AB$46="Muy Alta",'Mapa final'!$AD$46="Leve"),CONCATENATE("R5C",'Mapa final'!$R$46),"")</f>
        <v/>
      </c>
      <c r="P10" s="51" t="str">
        <f ca="1">IF(AND('Mapa final'!$AB$41="Muy Alta",'Mapa final'!$AD$41="Menor"),CONCATENATE("R5C",'Mapa final'!$R$41),"")</f>
        <v/>
      </c>
      <c r="Q10" s="52" t="str">
        <f ca="1">IF(AND('Mapa final'!$AB$42="Muy Alta",'Mapa final'!$AD$42="Menor"),CONCATENATE("R5C",'Mapa final'!$R$42),"")</f>
        <v/>
      </c>
      <c r="R10" s="57" t="str">
        <f ca="1">IF(AND('Mapa final'!$AB$43="Muy Alta",'Mapa final'!$AD$43="Menor"),CONCATENATE("R5C",'Mapa final'!$R$43),"")</f>
        <v/>
      </c>
      <c r="S10" s="57" t="str">
        <f ca="1">IF(AND('Mapa final'!$AB$44="Muy Alta",'Mapa final'!$AD$44="Menor"),CONCATENATE("R5C",'Mapa final'!$R$44),"")</f>
        <v/>
      </c>
      <c r="T10" s="57" t="str">
        <f>IF(AND('Mapa final'!$AB$45="Muy Alta",'Mapa final'!$AD$45="Menor"),CONCATENATE("R5C",'Mapa final'!$R$45),"")</f>
        <v/>
      </c>
      <c r="U10" s="53" t="str">
        <f>IF(AND('Mapa final'!$AB$46="Muy Alta",'Mapa final'!$AD$46="Menor"),CONCATENATE("R5C",'Mapa final'!$R$46),"")</f>
        <v/>
      </c>
      <c r="V10" s="51" t="str">
        <f ca="1">IF(AND('Mapa final'!$AB$41="Muy Alta",'Mapa final'!$AD$41="Moderado"),CONCATENATE("R5C",'Mapa final'!$R$41),"")</f>
        <v/>
      </c>
      <c r="W10" s="52" t="str">
        <f ca="1">IF(AND('Mapa final'!$AB$42="Muy Alta",'Mapa final'!$AD$42="Moderado"),CONCATENATE("R5C",'Mapa final'!$R$42),"")</f>
        <v/>
      </c>
      <c r="X10" s="57" t="str">
        <f ca="1">IF(AND('Mapa final'!$AB$43="Muy Alta",'Mapa final'!$AD$43="Moderado"),CONCATENATE("R5C",'Mapa final'!$R$43),"")</f>
        <v/>
      </c>
      <c r="Y10" s="57" t="str">
        <f ca="1">IF(AND('Mapa final'!$AB$44="Muy Alta",'Mapa final'!$AD$44="Moderado"),CONCATENATE("R5C",'Mapa final'!$R$44),"")</f>
        <v/>
      </c>
      <c r="Z10" s="57" t="str">
        <f>IF(AND('Mapa final'!$AB$45="Muy Alta",'Mapa final'!$AD$45="Moderado"),CONCATENATE("R5C",'Mapa final'!$R$45),"")</f>
        <v/>
      </c>
      <c r="AA10" s="53" t="str">
        <f>IF(AND('Mapa final'!$AB$46="Muy Alta",'Mapa final'!$AD$46="Moderado"),CONCATENATE("R5C",'Mapa final'!$R$46),"")</f>
        <v/>
      </c>
      <c r="AB10" s="51" t="str">
        <f ca="1">IF(AND('Mapa final'!$AB$41="Muy Alta",'Mapa final'!$AD$41="Mayor"),CONCATENATE("R5C",'Mapa final'!$R$41),"")</f>
        <v/>
      </c>
      <c r="AC10" s="52" t="str">
        <f ca="1">IF(AND('Mapa final'!$AB$42="Muy Alta",'Mapa final'!$AD$42="Mayor"),CONCATENATE("R5C",'Mapa final'!$R$42),"")</f>
        <v/>
      </c>
      <c r="AD10" s="57" t="str">
        <f ca="1">IF(AND('Mapa final'!$AB$43="Muy Alta",'Mapa final'!$AD$43="Mayor"),CONCATENATE("R5C",'Mapa final'!$R$43),"")</f>
        <v/>
      </c>
      <c r="AE10" s="57" t="str">
        <f ca="1">IF(AND('Mapa final'!$AB$44="Muy Alta",'Mapa final'!$AD$44="Mayor"),CONCATENATE("R5C",'Mapa final'!$R$44),"")</f>
        <v/>
      </c>
      <c r="AF10" s="57" t="str">
        <f>IF(AND('Mapa final'!$AB$45="Muy Alta",'Mapa final'!$AD$45="Mayor"),CONCATENATE("R5C",'Mapa final'!$R$45),"")</f>
        <v/>
      </c>
      <c r="AG10" s="53" t="str">
        <f>IF(AND('Mapa final'!$AB$46="Muy Alta",'Mapa final'!$AD$46="Mayor"),CONCATENATE("R5C",'Mapa final'!$R$46),"")</f>
        <v/>
      </c>
      <c r="AH10" s="54" t="str">
        <f ca="1">IF(AND('Mapa final'!$AB$41="Muy Alta",'Mapa final'!$AD$41="Catastrófico"),CONCATENATE("R5C",'Mapa final'!$R$41),"")</f>
        <v/>
      </c>
      <c r="AI10" s="55" t="str">
        <f ca="1">IF(AND('Mapa final'!$AB$42="Muy Alta",'Mapa final'!$AD$42="Catastrófico"),CONCATENATE("R5C",'Mapa final'!$R$42),"")</f>
        <v/>
      </c>
      <c r="AJ10" s="55" t="str">
        <f ca="1">IF(AND('Mapa final'!$AB$43="Muy Alta",'Mapa final'!$AD$43="Catastrófico"),CONCATENATE("R5C",'Mapa final'!$R$43),"")</f>
        <v/>
      </c>
      <c r="AK10" s="55" t="str">
        <f ca="1">IF(AND('Mapa final'!$AB$44="Muy Alta",'Mapa final'!$AD$44="Catastrófico"),CONCATENATE("R5C",'Mapa final'!$R$44),"")</f>
        <v/>
      </c>
      <c r="AL10" s="55" t="str">
        <f>IF(AND('Mapa final'!$AB$45="Muy Alta",'Mapa final'!$AD$45="Catastrófico"),CONCATENATE("R5C",'Mapa final'!$R$45),"")</f>
        <v/>
      </c>
      <c r="AM10" s="56" t="str">
        <f>IF(AND('Mapa final'!$AB$46="Muy Alta",'Mapa final'!$AD$46="Catastrófico"),CONCATENATE("R5C",'Mapa final'!$R$46),"")</f>
        <v/>
      </c>
      <c r="AN10" s="83"/>
      <c r="AO10" s="392"/>
      <c r="AP10" s="393"/>
      <c r="AQ10" s="393"/>
      <c r="AR10" s="393"/>
      <c r="AS10" s="393"/>
      <c r="AT10" s="39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4"/>
      <c r="C11" s="284"/>
      <c r="D11" s="285"/>
      <c r="E11" s="385"/>
      <c r="F11" s="386"/>
      <c r="G11" s="386"/>
      <c r="H11" s="386"/>
      <c r="I11" s="401"/>
      <c r="J11" s="51" t="e">
        <f>IF(AND('Mapa final'!#REF!="Muy Alta",'Mapa final'!#REF!="Leve"),CONCATENATE("R6C",'Mapa final'!#REF!),"")</f>
        <v>#REF!</v>
      </c>
      <c r="K11" s="52" t="e">
        <f>IF(AND('Mapa final'!#REF!="Muy Alta",'Mapa final'!#REF!="Leve"),CONCATENATE("R6C",'Mapa final'!#REF!),"")</f>
        <v>#REF!</v>
      </c>
      <c r="L11" s="57" t="e">
        <f>IF(AND('Mapa final'!#REF!="Muy Alta",'Mapa final'!#REF!="Leve"),CONCATENATE("R6C",'Mapa final'!#REF!),"")</f>
        <v>#REF!</v>
      </c>
      <c r="M11" s="57" t="e">
        <f>IF(AND('Mapa final'!#REF!="Muy Alta",'Mapa final'!#REF!="Leve"),CONCATENATE("R6C",'Mapa final'!#REF!),"")</f>
        <v>#REF!</v>
      </c>
      <c r="N11" s="57" t="e">
        <f>IF(AND('Mapa final'!#REF!="Muy Alta",'Mapa final'!#REF!="Leve"),CONCATENATE("R6C",'Mapa final'!#REF!),"")</f>
        <v>#REF!</v>
      </c>
      <c r="O11" s="53" t="e">
        <f>IF(AND('Mapa final'!#REF!="Muy Alta",'Mapa final'!#REF!="Leve"),CONCATENATE("R6C",'Mapa final'!#REF!),"")</f>
        <v>#REF!</v>
      </c>
      <c r="P11" s="51" t="e">
        <f>IF(AND('Mapa final'!#REF!="Muy Alta",'Mapa final'!#REF!="Menor"),CONCATENATE("R6C",'Mapa final'!#REF!),"")</f>
        <v>#REF!</v>
      </c>
      <c r="Q11" s="52" t="e">
        <f>IF(AND('Mapa final'!#REF!="Muy Alta",'Mapa final'!#REF!="Menor"),CONCATENATE("R6C",'Mapa final'!#REF!),"")</f>
        <v>#REF!</v>
      </c>
      <c r="R11" s="57" t="e">
        <f>IF(AND('Mapa final'!#REF!="Muy Alta",'Mapa final'!#REF!="Menor"),CONCATENATE("R6C",'Mapa final'!#REF!),"")</f>
        <v>#REF!</v>
      </c>
      <c r="S11" s="57" t="e">
        <f>IF(AND('Mapa final'!#REF!="Muy Alta",'Mapa final'!#REF!="Menor"),CONCATENATE("R6C",'Mapa final'!#REF!),"")</f>
        <v>#REF!</v>
      </c>
      <c r="T11" s="57" t="e">
        <f>IF(AND('Mapa final'!#REF!="Muy Alta",'Mapa final'!#REF!="Menor"),CONCATENATE("R6C",'Mapa final'!#REF!),"")</f>
        <v>#REF!</v>
      </c>
      <c r="U11" s="53" t="e">
        <f>IF(AND('Mapa final'!#REF!="Muy Alta",'Mapa final'!#REF!="Menor"),CONCATENATE("R6C",'Mapa final'!#REF!),"")</f>
        <v>#REF!</v>
      </c>
      <c r="V11" s="51" t="e">
        <f>IF(AND('Mapa final'!#REF!="Muy Alta",'Mapa final'!#REF!="Moderado"),CONCATENATE("R6C",'Mapa final'!#REF!),"")</f>
        <v>#REF!</v>
      </c>
      <c r="W11" s="52" t="e">
        <f>IF(AND('Mapa final'!#REF!="Muy Alta",'Mapa final'!#REF!="Moderado"),CONCATENATE("R6C",'Mapa final'!#REF!),"")</f>
        <v>#REF!</v>
      </c>
      <c r="X11" s="57" t="e">
        <f>IF(AND('Mapa final'!#REF!="Muy Alta",'Mapa final'!#REF!="Moderado"),CONCATENATE("R6C",'Mapa final'!#REF!),"")</f>
        <v>#REF!</v>
      </c>
      <c r="Y11" s="57" t="e">
        <f>IF(AND('Mapa final'!#REF!="Muy Alta",'Mapa final'!#REF!="Moderado"),CONCATENATE("R6C",'Mapa final'!#REF!),"")</f>
        <v>#REF!</v>
      </c>
      <c r="Z11" s="57" t="e">
        <f>IF(AND('Mapa final'!#REF!="Muy Alta",'Mapa final'!#REF!="Moderado"),CONCATENATE("R6C",'Mapa final'!#REF!),"")</f>
        <v>#REF!</v>
      </c>
      <c r="AA11" s="53" t="e">
        <f>IF(AND('Mapa final'!#REF!="Muy Alta",'Mapa final'!#REF!="Moderado"),CONCATENATE("R6C",'Mapa final'!#REF!),"")</f>
        <v>#REF!</v>
      </c>
      <c r="AB11" s="51" t="e">
        <f>IF(AND('Mapa final'!#REF!="Muy Alta",'Mapa final'!#REF!="Mayor"),CONCATENATE("R6C",'Mapa final'!#REF!),"")</f>
        <v>#REF!</v>
      </c>
      <c r="AC11" s="52" t="e">
        <f>IF(AND('Mapa final'!#REF!="Muy Alta",'Mapa final'!#REF!="Mayor"),CONCATENATE("R6C",'Mapa final'!#REF!),"")</f>
        <v>#REF!</v>
      </c>
      <c r="AD11" s="57" t="e">
        <f>IF(AND('Mapa final'!#REF!="Muy Alta",'Mapa final'!#REF!="Mayor"),CONCATENATE("R6C",'Mapa final'!#REF!),"")</f>
        <v>#REF!</v>
      </c>
      <c r="AE11" s="57" t="e">
        <f>IF(AND('Mapa final'!#REF!="Muy Alta",'Mapa final'!#REF!="Mayor"),CONCATENATE("R6C",'Mapa final'!#REF!),"")</f>
        <v>#REF!</v>
      </c>
      <c r="AF11" s="57" t="e">
        <f>IF(AND('Mapa final'!#REF!="Muy Alta",'Mapa final'!#REF!="Mayor"),CONCATENATE("R6C",'Mapa final'!#REF!),"")</f>
        <v>#REF!</v>
      </c>
      <c r="AG11" s="53" t="e">
        <f>IF(AND('Mapa final'!#REF!="Muy Alta",'Mapa final'!#REF!="Mayor"),CONCATENATE("R6C",'Mapa final'!#REF!),"")</f>
        <v>#REF!</v>
      </c>
      <c r="AH11" s="54" t="e">
        <f>IF(AND('Mapa final'!#REF!="Muy Alta",'Mapa final'!#REF!="Catastrófico"),CONCATENATE("R6C",'Mapa final'!#REF!),"")</f>
        <v>#REF!</v>
      </c>
      <c r="AI11" s="55" t="e">
        <f>IF(AND('Mapa final'!#REF!="Muy Alta",'Mapa final'!#REF!="Catastrófico"),CONCATENATE("R6C",'Mapa final'!#REF!),"")</f>
        <v>#REF!</v>
      </c>
      <c r="AJ11" s="55" t="e">
        <f>IF(AND('Mapa final'!#REF!="Muy Alta",'Mapa final'!#REF!="Catastrófico"),CONCATENATE("R6C",'Mapa final'!#REF!),"")</f>
        <v>#REF!</v>
      </c>
      <c r="AK11" s="55" t="e">
        <f>IF(AND('Mapa final'!#REF!="Muy Alta",'Mapa final'!#REF!="Catastrófico"),CONCATENATE("R6C",'Mapa final'!#REF!),"")</f>
        <v>#REF!</v>
      </c>
      <c r="AL11" s="55" t="e">
        <f>IF(AND('Mapa final'!#REF!="Muy Alta",'Mapa final'!#REF!="Catastrófico"),CONCATENATE("R6C",'Mapa final'!#REF!),"")</f>
        <v>#REF!</v>
      </c>
      <c r="AM11" s="56" t="e">
        <f>IF(AND('Mapa final'!#REF!="Muy Alta",'Mapa final'!#REF!="Catastrófico"),CONCATENATE("R6C",'Mapa final'!#REF!),"")</f>
        <v>#REF!</v>
      </c>
      <c r="AN11" s="83"/>
      <c r="AO11" s="392"/>
      <c r="AP11" s="393"/>
      <c r="AQ11" s="393"/>
      <c r="AR11" s="393"/>
      <c r="AS11" s="393"/>
      <c r="AT11" s="39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4"/>
      <c r="C12" s="284"/>
      <c r="D12" s="285"/>
      <c r="E12" s="385"/>
      <c r="F12" s="386"/>
      <c r="G12" s="386"/>
      <c r="H12" s="386"/>
      <c r="I12" s="401"/>
      <c r="J12" s="51" t="e">
        <f>IF(AND('Mapa final'!#REF!="Muy Alta",'Mapa final'!#REF!="Leve"),CONCATENATE("R7C",'Mapa final'!#REF!),"")</f>
        <v>#REF!</v>
      </c>
      <c r="K12" s="52" t="e">
        <f>IF(AND('Mapa final'!#REF!="Muy Alta",'Mapa final'!#REF!="Leve"),CONCATENATE("R7C",'Mapa final'!#REF!),"")</f>
        <v>#REF!</v>
      </c>
      <c r="L12" s="57" t="e">
        <f>IF(AND('Mapa final'!#REF!="Muy Alta",'Mapa final'!#REF!="Leve"),CONCATENATE("R7C",'Mapa final'!#REF!),"")</f>
        <v>#REF!</v>
      </c>
      <c r="M12" s="57" t="e">
        <f>IF(AND('Mapa final'!#REF!="Muy Alta",'Mapa final'!#REF!="Leve"),CONCATENATE("R7C",'Mapa final'!#REF!),"")</f>
        <v>#REF!</v>
      </c>
      <c r="N12" s="57" t="e">
        <f>IF(AND('Mapa final'!#REF!="Muy Alta",'Mapa final'!#REF!="Leve"),CONCATENATE("R7C",'Mapa final'!#REF!),"")</f>
        <v>#REF!</v>
      </c>
      <c r="O12" s="53" t="e">
        <f>IF(AND('Mapa final'!#REF!="Muy Alta",'Mapa final'!#REF!="Leve"),CONCATENATE("R7C",'Mapa final'!#REF!),"")</f>
        <v>#REF!</v>
      </c>
      <c r="P12" s="51" t="e">
        <f>IF(AND('Mapa final'!#REF!="Muy Alta",'Mapa final'!#REF!="Menor"),CONCATENATE("R7C",'Mapa final'!#REF!),"")</f>
        <v>#REF!</v>
      </c>
      <c r="Q12" s="52" t="e">
        <f>IF(AND('Mapa final'!#REF!="Muy Alta",'Mapa final'!#REF!="Menor"),CONCATENATE("R7C",'Mapa final'!#REF!),"")</f>
        <v>#REF!</v>
      </c>
      <c r="R12" s="57" t="e">
        <f>IF(AND('Mapa final'!#REF!="Muy Alta",'Mapa final'!#REF!="Menor"),CONCATENATE("R7C",'Mapa final'!#REF!),"")</f>
        <v>#REF!</v>
      </c>
      <c r="S12" s="57" t="e">
        <f>IF(AND('Mapa final'!#REF!="Muy Alta",'Mapa final'!#REF!="Menor"),CONCATENATE("R7C",'Mapa final'!#REF!),"")</f>
        <v>#REF!</v>
      </c>
      <c r="T12" s="57" t="e">
        <f>IF(AND('Mapa final'!#REF!="Muy Alta",'Mapa final'!#REF!="Menor"),CONCATENATE("R7C",'Mapa final'!#REF!),"")</f>
        <v>#REF!</v>
      </c>
      <c r="U12" s="53" t="e">
        <f>IF(AND('Mapa final'!#REF!="Muy Alta",'Mapa final'!#REF!="Menor"),CONCATENATE("R7C",'Mapa final'!#REF!),"")</f>
        <v>#REF!</v>
      </c>
      <c r="V12" s="51" t="e">
        <f>IF(AND('Mapa final'!#REF!="Muy Alta",'Mapa final'!#REF!="Moderado"),CONCATENATE("R7C",'Mapa final'!#REF!),"")</f>
        <v>#REF!</v>
      </c>
      <c r="W12" s="52" t="e">
        <f>IF(AND('Mapa final'!#REF!="Muy Alta",'Mapa final'!#REF!="Moderado"),CONCATENATE("R7C",'Mapa final'!#REF!),"")</f>
        <v>#REF!</v>
      </c>
      <c r="X12" s="57" t="e">
        <f>IF(AND('Mapa final'!#REF!="Muy Alta",'Mapa final'!#REF!="Moderado"),CONCATENATE("R7C",'Mapa final'!#REF!),"")</f>
        <v>#REF!</v>
      </c>
      <c r="Y12" s="57" t="e">
        <f>IF(AND('Mapa final'!#REF!="Muy Alta",'Mapa final'!#REF!="Moderado"),CONCATENATE("R7C",'Mapa final'!#REF!),"")</f>
        <v>#REF!</v>
      </c>
      <c r="Z12" s="57" t="e">
        <f>IF(AND('Mapa final'!#REF!="Muy Alta",'Mapa final'!#REF!="Moderado"),CONCATENATE("R7C",'Mapa final'!#REF!),"")</f>
        <v>#REF!</v>
      </c>
      <c r="AA12" s="53" t="e">
        <f>IF(AND('Mapa final'!#REF!="Muy Alta",'Mapa final'!#REF!="Moderado"),CONCATENATE("R7C",'Mapa final'!#REF!),"")</f>
        <v>#REF!</v>
      </c>
      <c r="AB12" s="51" t="e">
        <f>IF(AND('Mapa final'!#REF!="Muy Alta",'Mapa final'!#REF!="Mayor"),CONCATENATE("R7C",'Mapa final'!#REF!),"")</f>
        <v>#REF!</v>
      </c>
      <c r="AC12" s="52" t="e">
        <f>IF(AND('Mapa final'!#REF!="Muy Alta",'Mapa final'!#REF!="Mayor"),CONCATENATE("R7C",'Mapa final'!#REF!),"")</f>
        <v>#REF!</v>
      </c>
      <c r="AD12" s="57" t="e">
        <f>IF(AND('Mapa final'!#REF!="Muy Alta",'Mapa final'!#REF!="Mayor"),CONCATENATE("R7C",'Mapa final'!#REF!),"")</f>
        <v>#REF!</v>
      </c>
      <c r="AE12" s="57" t="e">
        <f>IF(AND('Mapa final'!#REF!="Muy Alta",'Mapa final'!#REF!="Mayor"),CONCATENATE("R7C",'Mapa final'!#REF!),"")</f>
        <v>#REF!</v>
      </c>
      <c r="AF12" s="57" t="e">
        <f>IF(AND('Mapa final'!#REF!="Muy Alta",'Mapa final'!#REF!="Mayor"),CONCATENATE("R7C",'Mapa final'!#REF!),"")</f>
        <v>#REF!</v>
      </c>
      <c r="AG12" s="53" t="e">
        <f>IF(AND('Mapa final'!#REF!="Muy Alta",'Mapa final'!#REF!="Mayor"),CONCATENATE("R7C",'Mapa final'!#REF!),"")</f>
        <v>#REF!</v>
      </c>
      <c r="AH12" s="54" t="e">
        <f>IF(AND('Mapa final'!#REF!="Muy Alta",'Mapa final'!#REF!="Catastrófico"),CONCATENATE("R7C",'Mapa final'!#REF!),"")</f>
        <v>#REF!</v>
      </c>
      <c r="AI12" s="55" t="e">
        <f>IF(AND('Mapa final'!#REF!="Muy Alta",'Mapa final'!#REF!="Catastrófico"),CONCATENATE("R7C",'Mapa final'!#REF!),"")</f>
        <v>#REF!</v>
      </c>
      <c r="AJ12" s="55" t="e">
        <f>IF(AND('Mapa final'!#REF!="Muy Alta",'Mapa final'!#REF!="Catastrófico"),CONCATENATE("R7C",'Mapa final'!#REF!),"")</f>
        <v>#REF!</v>
      </c>
      <c r="AK12" s="55" t="e">
        <f>IF(AND('Mapa final'!#REF!="Muy Alta",'Mapa final'!#REF!="Catastrófico"),CONCATENATE("R7C",'Mapa final'!#REF!),"")</f>
        <v>#REF!</v>
      </c>
      <c r="AL12" s="55" t="e">
        <f>IF(AND('Mapa final'!#REF!="Muy Alta",'Mapa final'!#REF!="Catastrófico"),CONCATENATE("R7C",'Mapa final'!#REF!),"")</f>
        <v>#REF!</v>
      </c>
      <c r="AM12" s="56" t="e">
        <f>IF(AND('Mapa final'!#REF!="Muy Alta",'Mapa final'!#REF!="Catastrófico"),CONCATENATE("R7C",'Mapa final'!#REF!),"")</f>
        <v>#REF!</v>
      </c>
      <c r="AN12" s="83"/>
      <c r="AO12" s="392"/>
      <c r="AP12" s="393"/>
      <c r="AQ12" s="393"/>
      <c r="AR12" s="393"/>
      <c r="AS12" s="393"/>
      <c r="AT12" s="39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4"/>
      <c r="C13" s="284"/>
      <c r="D13" s="285"/>
      <c r="E13" s="385"/>
      <c r="F13" s="386"/>
      <c r="G13" s="386"/>
      <c r="H13" s="386"/>
      <c r="I13" s="401"/>
      <c r="J13" s="51" t="str">
        <f ca="1">IF(AND('Mapa final'!$AB$47="Muy Alta",'Mapa final'!$AD$47="Leve"),CONCATENATE("R8C",'Mapa final'!$R$47),"")</f>
        <v/>
      </c>
      <c r="K13" s="52" t="str">
        <f>IF(AND('Mapa final'!$AB$48="Muy Alta",'Mapa final'!$AD$48="Leve"),CONCATENATE("R8C",'Mapa final'!$R$48),"")</f>
        <v/>
      </c>
      <c r="L13" s="57" t="str">
        <f>IF(AND('Mapa final'!$AB$49="Muy Alta",'Mapa final'!$AD$49="Leve"),CONCATENATE("R8C",'Mapa final'!$R$49),"")</f>
        <v/>
      </c>
      <c r="M13" s="57" t="str">
        <f>IF(AND('Mapa final'!$AB$50="Muy Alta",'Mapa final'!$AD$50="Leve"),CONCATENATE("R8C",'Mapa final'!$R$50),"")</f>
        <v/>
      </c>
      <c r="N13" s="57" t="str">
        <f>IF(AND('Mapa final'!$AB$51="Muy Alta",'Mapa final'!$AD$51="Leve"),CONCATENATE("R8C",'Mapa final'!$R$51),"")</f>
        <v/>
      </c>
      <c r="O13" s="53" t="str">
        <f>IF(AND('Mapa final'!$AB$52="Muy Alta",'Mapa final'!$AD$52="Leve"),CONCATENATE("R8C",'Mapa final'!$R$52),"")</f>
        <v/>
      </c>
      <c r="P13" s="51" t="str">
        <f ca="1">IF(AND('Mapa final'!$AB$47="Muy Alta",'Mapa final'!$AD$47="Menor"),CONCATENATE("R8C",'Mapa final'!$R$47),"")</f>
        <v/>
      </c>
      <c r="Q13" s="52" t="str">
        <f>IF(AND('Mapa final'!$AB$48="Muy Alta",'Mapa final'!$AD$48="Menor"),CONCATENATE("R8C",'Mapa final'!$R$48),"")</f>
        <v/>
      </c>
      <c r="R13" s="57" t="str">
        <f>IF(AND('Mapa final'!$AB$49="Muy Alta",'Mapa final'!$AD$49="Menor"),CONCATENATE("R8C",'Mapa final'!$R$49),"")</f>
        <v/>
      </c>
      <c r="S13" s="57" t="str">
        <f>IF(AND('Mapa final'!$AB$50="Muy Alta",'Mapa final'!$AD$50="Menor"),CONCATENATE("R8C",'Mapa final'!$R$50),"")</f>
        <v/>
      </c>
      <c r="T13" s="57" t="str">
        <f>IF(AND('Mapa final'!$AB$51="Muy Alta",'Mapa final'!$AD$51="Menor"),CONCATENATE("R8C",'Mapa final'!$R$51),"")</f>
        <v/>
      </c>
      <c r="U13" s="53" t="str">
        <f>IF(AND('Mapa final'!$AB$52="Muy Alta",'Mapa final'!$AD$52="Menor"),CONCATENATE("R8C",'Mapa final'!$R$52),"")</f>
        <v/>
      </c>
      <c r="V13" s="51" t="str">
        <f ca="1">IF(AND('Mapa final'!$AB$47="Muy Alta",'Mapa final'!$AD$47="Moderado"),CONCATENATE("R8C",'Mapa final'!$R$47),"")</f>
        <v/>
      </c>
      <c r="W13" s="52" t="str">
        <f>IF(AND('Mapa final'!$AB$48="Muy Alta",'Mapa final'!$AD$48="Moderado"),CONCATENATE("R8C",'Mapa final'!$R$48),"")</f>
        <v/>
      </c>
      <c r="X13" s="57" t="str">
        <f>IF(AND('Mapa final'!$AB$49="Muy Alta",'Mapa final'!$AD$49="Moderado"),CONCATENATE("R8C",'Mapa final'!$R$49),"")</f>
        <v/>
      </c>
      <c r="Y13" s="57" t="str">
        <f>IF(AND('Mapa final'!$AB$50="Muy Alta",'Mapa final'!$AD$50="Moderado"),CONCATENATE("R8C",'Mapa final'!$R$50),"")</f>
        <v/>
      </c>
      <c r="Z13" s="57" t="str">
        <f>IF(AND('Mapa final'!$AB$51="Muy Alta",'Mapa final'!$AD$51="Moderado"),CONCATENATE("R8C",'Mapa final'!$R$51),"")</f>
        <v/>
      </c>
      <c r="AA13" s="53" t="str">
        <f>IF(AND('Mapa final'!$AB$52="Muy Alta",'Mapa final'!$AD$52="Moderado"),CONCATENATE("R8C",'Mapa final'!$R$52),"")</f>
        <v/>
      </c>
      <c r="AB13" s="51" t="str">
        <f ca="1">IF(AND('Mapa final'!$AB$47="Muy Alta",'Mapa final'!$AD$47="Mayor"),CONCATENATE("R8C",'Mapa final'!$R$47),"")</f>
        <v/>
      </c>
      <c r="AC13" s="52" t="str">
        <f>IF(AND('Mapa final'!$AB$48="Muy Alta",'Mapa final'!$AD$48="Mayor"),CONCATENATE("R8C",'Mapa final'!$R$48),"")</f>
        <v/>
      </c>
      <c r="AD13" s="57" t="str">
        <f>IF(AND('Mapa final'!$AB$49="Muy Alta",'Mapa final'!$AD$49="Mayor"),CONCATENATE("R8C",'Mapa final'!$R$49),"")</f>
        <v/>
      </c>
      <c r="AE13" s="57" t="str">
        <f>IF(AND('Mapa final'!$AB$50="Muy Alta",'Mapa final'!$AD$50="Mayor"),CONCATENATE("R8C",'Mapa final'!$R$50),"")</f>
        <v/>
      </c>
      <c r="AF13" s="57" t="str">
        <f>IF(AND('Mapa final'!$AB$51="Muy Alta",'Mapa final'!$AD$51="Mayor"),CONCATENATE("R8C",'Mapa final'!$R$51),"")</f>
        <v/>
      </c>
      <c r="AG13" s="53" t="str">
        <f>IF(AND('Mapa final'!$AB$52="Muy Alta",'Mapa final'!$AD$52="Mayor"),CONCATENATE("R8C",'Mapa final'!$R$52),"")</f>
        <v/>
      </c>
      <c r="AH13" s="54" t="str">
        <f ca="1">IF(AND('Mapa final'!$AB$47="Muy Alta",'Mapa final'!$AD$47="Catastrófico"),CONCATENATE("R8C",'Mapa final'!$R$47),"")</f>
        <v/>
      </c>
      <c r="AI13" s="55" t="str">
        <f>IF(AND('Mapa final'!$AB$48="Muy Alta",'Mapa final'!$AD$48="Catastrófico"),CONCATENATE("R8C",'Mapa final'!$R$48),"")</f>
        <v/>
      </c>
      <c r="AJ13" s="55" t="str">
        <f>IF(AND('Mapa final'!$AB$49="Muy Alta",'Mapa final'!$AD$49="Catastrófico"),CONCATENATE("R8C",'Mapa final'!$R$49),"")</f>
        <v/>
      </c>
      <c r="AK13" s="55" t="str">
        <f>IF(AND('Mapa final'!$AB$50="Muy Alta",'Mapa final'!$AD$50="Catastrófico"),CONCATENATE("R8C",'Mapa final'!$R$50),"")</f>
        <v/>
      </c>
      <c r="AL13" s="55" t="str">
        <f>IF(AND('Mapa final'!$AB$51="Muy Alta",'Mapa final'!$AD$51="Catastrófico"),CONCATENATE("R8C",'Mapa final'!$R$51),"")</f>
        <v/>
      </c>
      <c r="AM13" s="56" t="str">
        <f>IF(AND('Mapa final'!$AB$52="Muy Alta",'Mapa final'!$AD$52="Catastrófico"),CONCATENATE("R8C",'Mapa final'!$R$52),"")</f>
        <v/>
      </c>
      <c r="AN13" s="83"/>
      <c r="AO13" s="392"/>
      <c r="AP13" s="393"/>
      <c r="AQ13" s="393"/>
      <c r="AR13" s="393"/>
      <c r="AS13" s="393"/>
      <c r="AT13" s="39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4"/>
      <c r="C14" s="284"/>
      <c r="D14" s="285"/>
      <c r="E14" s="385"/>
      <c r="F14" s="386"/>
      <c r="G14" s="386"/>
      <c r="H14" s="386"/>
      <c r="I14" s="401"/>
      <c r="J14" s="51" t="str">
        <f ca="1">IF(AND('Mapa final'!$AB$59="Muy Alta",'Mapa final'!$AD$59="Leve"),CONCATENATE("R9C",'Mapa final'!$R$59),"")</f>
        <v/>
      </c>
      <c r="K14" s="52" t="str">
        <f ca="1">IF(AND('Mapa final'!$AB$60="Muy Alta",'Mapa final'!$AD$60="Leve"),CONCATENATE("R9C",'Mapa final'!$R$60),"")</f>
        <v/>
      </c>
      <c r="L14" s="57" t="str">
        <f>IF(AND('Mapa final'!$AB$61="Muy Alta",'Mapa final'!$AD$61="Leve"),CONCATENATE("R9C",'Mapa final'!$R$61),"")</f>
        <v/>
      </c>
      <c r="M14" s="57" t="str">
        <f>IF(AND('Mapa final'!$AB$62="Muy Alta",'Mapa final'!$AD$62="Leve"),CONCATENATE("R9C",'Mapa final'!$R$62),"")</f>
        <v/>
      </c>
      <c r="N14" s="57" t="str">
        <f>IF(AND('Mapa final'!$AB$63="Muy Alta",'Mapa final'!$AD$63="Leve"),CONCATENATE("R9C",'Mapa final'!$R$63),"")</f>
        <v/>
      </c>
      <c r="O14" s="53" t="str">
        <f>IF(AND('Mapa final'!$AB$70="Muy Alta",'Mapa final'!$AD$70="Leve"),CONCATENATE("R9C",'Mapa final'!$R$70),"")</f>
        <v/>
      </c>
      <c r="P14" s="51" t="str">
        <f ca="1">IF(AND('Mapa final'!$AB$59="Muy Alta",'Mapa final'!$AD$59="Menor"),CONCATENATE("R9C",'Mapa final'!$R$59),"")</f>
        <v/>
      </c>
      <c r="Q14" s="52" t="str">
        <f ca="1">IF(AND('Mapa final'!$AB$60="Muy Alta",'Mapa final'!$AD$60="Menor"),CONCATENATE("R9C",'Mapa final'!$R$60),"")</f>
        <v/>
      </c>
      <c r="R14" s="57" t="str">
        <f>IF(AND('Mapa final'!$AB$61="Muy Alta",'Mapa final'!$AD$61="Menor"),CONCATENATE("R9C",'Mapa final'!$R$61),"")</f>
        <v/>
      </c>
      <c r="S14" s="57" t="str">
        <f>IF(AND('Mapa final'!$AB$62="Muy Alta",'Mapa final'!$AD$62="Menor"),CONCATENATE("R9C",'Mapa final'!$R$62),"")</f>
        <v/>
      </c>
      <c r="T14" s="57" t="str">
        <f>IF(AND('Mapa final'!$AB$63="Muy Alta",'Mapa final'!$AD$63="Menor"),CONCATENATE("R9C",'Mapa final'!$R$63),"")</f>
        <v/>
      </c>
      <c r="U14" s="53" t="str">
        <f>IF(AND('Mapa final'!$AB$70="Muy Alta",'Mapa final'!$AD$70="Menor"),CONCATENATE("R9C",'Mapa final'!$R$70),"")</f>
        <v/>
      </c>
      <c r="V14" s="51" t="str">
        <f ca="1">IF(AND('Mapa final'!$AB$59="Muy Alta",'Mapa final'!$AD$59="Moderado"),CONCATENATE("R9C",'Mapa final'!$R$59),"")</f>
        <v/>
      </c>
      <c r="W14" s="52" t="str">
        <f ca="1">IF(AND('Mapa final'!$AB$60="Muy Alta",'Mapa final'!$AD$60="Moderado"),CONCATENATE("R9C",'Mapa final'!$R$60),"")</f>
        <v/>
      </c>
      <c r="X14" s="57" t="str">
        <f>IF(AND('Mapa final'!$AB$61="Muy Alta",'Mapa final'!$AD$61="Moderado"),CONCATENATE("R9C",'Mapa final'!$R$61),"")</f>
        <v/>
      </c>
      <c r="Y14" s="57" t="str">
        <f>IF(AND('Mapa final'!$AB$62="Muy Alta",'Mapa final'!$AD$62="Moderado"),CONCATENATE("R9C",'Mapa final'!$R$62),"")</f>
        <v/>
      </c>
      <c r="Z14" s="57" t="str">
        <f>IF(AND('Mapa final'!$AB$63="Muy Alta",'Mapa final'!$AD$63="Moderado"),CONCATENATE("R9C",'Mapa final'!$R$63),"")</f>
        <v/>
      </c>
      <c r="AA14" s="53" t="str">
        <f>IF(AND('Mapa final'!$AB$70="Muy Alta",'Mapa final'!$AD$70="Moderado"),CONCATENATE("R9C",'Mapa final'!$R$70),"")</f>
        <v/>
      </c>
      <c r="AB14" s="51" t="str">
        <f ca="1">IF(AND('Mapa final'!$AB$59="Muy Alta",'Mapa final'!$AD$59="Mayor"),CONCATENATE("R9C",'Mapa final'!$R$59),"")</f>
        <v/>
      </c>
      <c r="AC14" s="52" t="str">
        <f ca="1">IF(AND('Mapa final'!$AB$60="Muy Alta",'Mapa final'!$AD$60="Mayor"),CONCATENATE("R9C",'Mapa final'!$R$60),"")</f>
        <v/>
      </c>
      <c r="AD14" s="57" t="str">
        <f>IF(AND('Mapa final'!$AB$61="Muy Alta",'Mapa final'!$AD$61="Mayor"),CONCATENATE("R9C",'Mapa final'!$R$61),"")</f>
        <v/>
      </c>
      <c r="AE14" s="57" t="str">
        <f>IF(AND('Mapa final'!$AB$62="Muy Alta",'Mapa final'!$AD$62="Mayor"),CONCATENATE("R9C",'Mapa final'!$R$62),"")</f>
        <v/>
      </c>
      <c r="AF14" s="57" t="str">
        <f>IF(AND('Mapa final'!$AB$63="Muy Alta",'Mapa final'!$AD$63="Mayor"),CONCATENATE("R9C",'Mapa final'!$R$63),"")</f>
        <v/>
      </c>
      <c r="AG14" s="53" t="str">
        <f>IF(AND('Mapa final'!$AB$70="Muy Alta",'Mapa final'!$AD$70="Mayor"),CONCATENATE("R9C",'Mapa final'!$R$70),"")</f>
        <v/>
      </c>
      <c r="AH14" s="54" t="str">
        <f ca="1">IF(AND('Mapa final'!$AB$59="Muy Alta",'Mapa final'!$AD$59="Catastrófico"),CONCATENATE("R9C",'Mapa final'!$R$59),"")</f>
        <v/>
      </c>
      <c r="AI14" s="55" t="str">
        <f ca="1">IF(AND('Mapa final'!$AB$60="Muy Alta",'Mapa final'!$AD$60="Catastrófico"),CONCATENATE("R9C",'Mapa final'!$R$60),"")</f>
        <v/>
      </c>
      <c r="AJ14" s="55" t="str">
        <f>IF(AND('Mapa final'!$AB$61="Muy Alta",'Mapa final'!$AD$61="Catastrófico"),CONCATENATE("R9C",'Mapa final'!$R$61),"")</f>
        <v/>
      </c>
      <c r="AK14" s="55" t="str">
        <f>IF(AND('Mapa final'!$AB$62="Muy Alta",'Mapa final'!$AD$62="Catastrófico"),CONCATENATE("R9C",'Mapa final'!$R$62),"")</f>
        <v/>
      </c>
      <c r="AL14" s="55" t="str">
        <f>IF(AND('Mapa final'!$AB$63="Muy Alta",'Mapa final'!$AD$63="Catastrófico"),CONCATENATE("R9C",'Mapa final'!$R$63),"")</f>
        <v/>
      </c>
      <c r="AM14" s="56" t="str">
        <f>IF(AND('Mapa final'!$AB$70="Muy Alta",'Mapa final'!$AD$70="Catastrófico"),CONCATENATE("R9C",'Mapa final'!$R$70),"")</f>
        <v/>
      </c>
      <c r="AN14" s="83"/>
      <c r="AO14" s="392"/>
      <c r="AP14" s="393"/>
      <c r="AQ14" s="393"/>
      <c r="AR14" s="393"/>
      <c r="AS14" s="393"/>
      <c r="AT14" s="39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4"/>
      <c r="C15" s="284"/>
      <c r="D15" s="285"/>
      <c r="E15" s="387"/>
      <c r="F15" s="388"/>
      <c r="G15" s="388"/>
      <c r="H15" s="388"/>
      <c r="I15" s="402"/>
      <c r="J15" s="58" t="str">
        <f ca="1">IF(AND('Mapa final'!$AB$71="Muy Alta",'Mapa final'!$AD$71="Leve"),CONCATENATE("R10C",'Mapa final'!$R$71),"")</f>
        <v/>
      </c>
      <c r="K15" s="59" t="str">
        <f ca="1">IF(AND('Mapa final'!$AB$72="Muy Alta",'Mapa final'!$AD$72="Leve"),CONCATENATE("R10C",'Mapa final'!$R$72),"")</f>
        <v/>
      </c>
      <c r="L15" s="59" t="str">
        <f ca="1">IF(AND('Mapa final'!$AB$73="Muy Alta",'Mapa final'!$AD$73="Leve"),CONCATENATE("R10C",'Mapa final'!$R$73),"")</f>
        <v/>
      </c>
      <c r="M15" s="59" t="str">
        <f>IF(AND('Mapa final'!$AB$74="Muy Alta",'Mapa final'!$AD$74="Leve"),CONCATENATE("R10C",'Mapa final'!$R$74),"")</f>
        <v/>
      </c>
      <c r="N15" s="59" t="str">
        <f>IF(AND('Mapa final'!$AB$75="Muy Alta",'Mapa final'!$AD$75="Leve"),CONCATENATE("R10C",'Mapa final'!$R$75),"")</f>
        <v/>
      </c>
      <c r="O15" s="60" t="str">
        <f>IF(AND('Mapa final'!$AB$76="Muy Alta",'Mapa final'!$AD$76="Leve"),CONCATENATE("R10C",'Mapa final'!$R$76),"")</f>
        <v/>
      </c>
      <c r="P15" s="51" t="str">
        <f ca="1">IF(AND('Mapa final'!$AB$71="Muy Alta",'Mapa final'!$AD$71="Menor"),CONCATENATE("R10C",'Mapa final'!$R$71),"")</f>
        <v/>
      </c>
      <c r="Q15" s="52" t="str">
        <f ca="1">IF(AND('Mapa final'!$AB$72="Muy Alta",'Mapa final'!$AD$72="Menor"),CONCATENATE("R10C",'Mapa final'!$R$72),"")</f>
        <v/>
      </c>
      <c r="R15" s="52" t="str">
        <f ca="1">IF(AND('Mapa final'!$AB$73="Muy Alta",'Mapa final'!$AD$73="Menor"),CONCATENATE("R10C",'Mapa final'!$R$73),"")</f>
        <v/>
      </c>
      <c r="S15" s="52" t="str">
        <f>IF(AND('Mapa final'!$AB$74="Muy Alta",'Mapa final'!$AD$74="Menor"),CONCATENATE("R10C",'Mapa final'!$R$74),"")</f>
        <v/>
      </c>
      <c r="T15" s="52" t="str">
        <f>IF(AND('Mapa final'!$AB$75="Muy Alta",'Mapa final'!$AD$75="Menor"),CONCATENATE("R10C",'Mapa final'!$R$75),"")</f>
        <v/>
      </c>
      <c r="U15" s="53" t="str">
        <f>IF(AND('Mapa final'!$AB$76="Muy Alta",'Mapa final'!$AD$76="Menor"),CONCATENATE("R10C",'Mapa final'!$R$76),"")</f>
        <v/>
      </c>
      <c r="V15" s="58" t="str">
        <f ca="1">IF(AND('Mapa final'!$AB$71="Muy Alta",'Mapa final'!$AD$71="Moderado"),CONCATENATE("R10C",'Mapa final'!$R$71),"")</f>
        <v/>
      </c>
      <c r="W15" s="59" t="str">
        <f ca="1">IF(AND('Mapa final'!$AB$72="Muy Alta",'Mapa final'!$AD$72="Moderado"),CONCATENATE("R10C",'Mapa final'!$R$72),"")</f>
        <v/>
      </c>
      <c r="X15" s="59" t="str">
        <f ca="1">IF(AND('Mapa final'!$AB$73="Muy Alta",'Mapa final'!$AD$73="Moderado"),CONCATENATE("R10C",'Mapa final'!$R$73),"")</f>
        <v/>
      </c>
      <c r="Y15" s="59" t="str">
        <f>IF(AND('Mapa final'!$AB$74="Muy Alta",'Mapa final'!$AD$74="Moderado"),CONCATENATE("R10C",'Mapa final'!$R$74),"")</f>
        <v/>
      </c>
      <c r="Z15" s="59" t="str">
        <f>IF(AND('Mapa final'!$AB$75="Muy Alta",'Mapa final'!$AD$75="Moderado"),CONCATENATE("R10C",'Mapa final'!$R$75),"")</f>
        <v/>
      </c>
      <c r="AA15" s="60" t="str">
        <f>IF(AND('Mapa final'!$AB$76="Muy Alta",'Mapa final'!$AD$76="Moderado"),CONCATENATE("R10C",'Mapa final'!$R$76),"")</f>
        <v/>
      </c>
      <c r="AB15" s="51" t="str">
        <f ca="1">IF(AND('Mapa final'!$AB$71="Muy Alta",'Mapa final'!$AD$71="Mayor"),CONCATENATE("R10C",'Mapa final'!$R$71),"")</f>
        <v/>
      </c>
      <c r="AC15" s="52" t="str">
        <f ca="1">IF(AND('Mapa final'!$AB$72="Muy Alta",'Mapa final'!$AD$72="Mayor"),CONCATENATE("R10C",'Mapa final'!$R$72),"")</f>
        <v/>
      </c>
      <c r="AD15" s="52" t="str">
        <f ca="1">IF(AND('Mapa final'!$AB$73="Muy Alta",'Mapa final'!$AD$73="Mayor"),CONCATENATE("R10C",'Mapa final'!$R$73),"")</f>
        <v/>
      </c>
      <c r="AE15" s="52" t="str">
        <f>IF(AND('Mapa final'!$AB$74="Muy Alta",'Mapa final'!$AD$74="Mayor"),CONCATENATE("R10C",'Mapa final'!$R$74),"")</f>
        <v/>
      </c>
      <c r="AF15" s="52" t="str">
        <f>IF(AND('Mapa final'!$AB$75="Muy Alta",'Mapa final'!$AD$75="Mayor"),CONCATENATE("R10C",'Mapa final'!$R$75),"")</f>
        <v/>
      </c>
      <c r="AG15" s="53" t="str">
        <f>IF(AND('Mapa final'!$AB$76="Muy Alta",'Mapa final'!$AD$76="Mayor"),CONCATENATE("R10C",'Mapa final'!$R$76),"")</f>
        <v/>
      </c>
      <c r="AH15" s="61" t="str">
        <f ca="1">IF(AND('Mapa final'!$AB$71="Muy Alta",'Mapa final'!$AD$71="Catastrófico"),CONCATENATE("R10C",'Mapa final'!$R$71),"")</f>
        <v/>
      </c>
      <c r="AI15" s="62" t="str">
        <f ca="1">IF(AND('Mapa final'!$AB$72="Muy Alta",'Mapa final'!$AD$72="Catastrófico"),CONCATENATE("R10C",'Mapa final'!$R$72),"")</f>
        <v/>
      </c>
      <c r="AJ15" s="62" t="str">
        <f ca="1">IF(AND('Mapa final'!$AB$73="Muy Alta",'Mapa final'!$AD$73="Catastrófico"),CONCATENATE("R10C",'Mapa final'!$R$73),"")</f>
        <v/>
      </c>
      <c r="AK15" s="62" t="str">
        <f>IF(AND('Mapa final'!$AB$74="Muy Alta",'Mapa final'!$AD$74="Catastrófico"),CONCATENATE("R10C",'Mapa final'!$R$74),"")</f>
        <v/>
      </c>
      <c r="AL15" s="62" t="str">
        <f>IF(AND('Mapa final'!$AB$75="Muy Alta",'Mapa final'!$AD$75="Catastrófico"),CONCATENATE("R10C",'Mapa final'!$R$75),"")</f>
        <v/>
      </c>
      <c r="AM15" s="63" t="str">
        <f>IF(AND('Mapa final'!$AB$76="Muy Alta",'Mapa final'!$AD$76="Catastrófico"),CONCATENATE("R10C",'Mapa final'!$R$76),"")</f>
        <v/>
      </c>
      <c r="AN15" s="83"/>
      <c r="AO15" s="395"/>
      <c r="AP15" s="396"/>
      <c r="AQ15" s="396"/>
      <c r="AR15" s="396"/>
      <c r="AS15" s="396"/>
      <c r="AT15" s="39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4"/>
      <c r="C16" s="284"/>
      <c r="D16" s="285"/>
      <c r="E16" s="381" t="s">
        <v>107</v>
      </c>
      <c r="F16" s="382"/>
      <c r="G16" s="382"/>
      <c r="H16" s="382"/>
      <c r="I16" s="382"/>
      <c r="J16" s="64" t="str">
        <f ca="1">IF(AND('Mapa final'!$AB$11="Alta",'Mapa final'!$AD$11="Leve"),CONCATENATE("R1C",'Mapa final'!$R$11),"")</f>
        <v/>
      </c>
      <c r="K16" s="65" t="str">
        <f ca="1">IF(AND('Mapa final'!$AB$12="Alta",'Mapa final'!$AD$12="Leve"),CONCATENATE("R1C",'Mapa final'!$R$12),"")</f>
        <v/>
      </c>
      <c r="L16" s="65" t="str">
        <f>IF(AND('Mapa final'!$AB$13="Alta",'Mapa final'!$AD$13="Leve"),CONCATENATE("R1C",'Mapa final'!$R$13),"")</f>
        <v/>
      </c>
      <c r="M16" s="65" t="str">
        <f>IF(AND('Mapa final'!$AB$14="Alta",'Mapa final'!$AD$14="Leve"),CONCATENATE("R1C",'Mapa final'!$R$14),"")</f>
        <v/>
      </c>
      <c r="N16" s="65" t="str">
        <f>IF(AND('Mapa final'!$AB$15="Alta",'Mapa final'!$AD$15="Leve"),CONCATENATE("R1C",'Mapa final'!$R$15),"")</f>
        <v/>
      </c>
      <c r="O16" s="66" t="str">
        <f>IF(AND('Mapa final'!$AB$16="Alta",'Mapa final'!$AD$16="Leve"),CONCATENATE("R1C",'Mapa final'!$R$16),"")</f>
        <v/>
      </c>
      <c r="P16" s="64" t="str">
        <f ca="1">IF(AND('Mapa final'!$AB$11="Alta",'Mapa final'!$AD$11="Menor"),CONCATENATE("R1C",'Mapa final'!$R$11),"")</f>
        <v/>
      </c>
      <c r="Q16" s="65" t="str">
        <f ca="1">IF(AND('Mapa final'!$AB$12="Alta",'Mapa final'!$AD$12="Menor"),CONCATENATE("R1C",'Mapa final'!$R$12),"")</f>
        <v/>
      </c>
      <c r="R16" s="65" t="str">
        <f>IF(AND('Mapa final'!$AB$13="Alta",'Mapa final'!$AD$13="Menor"),CONCATENATE("R1C",'Mapa final'!$R$13),"")</f>
        <v/>
      </c>
      <c r="S16" s="65" t="str">
        <f>IF(AND('Mapa final'!$AB$14="Alta",'Mapa final'!$AD$14="Menor"),CONCATENATE("R1C",'Mapa final'!$R$14),"")</f>
        <v/>
      </c>
      <c r="T16" s="65" t="str">
        <f>IF(AND('Mapa final'!$AB$15="Alta",'Mapa final'!$AD$15="Menor"),CONCATENATE("R1C",'Mapa final'!$R$15),"")</f>
        <v/>
      </c>
      <c r="U16" s="66" t="str">
        <f>IF(AND('Mapa final'!$AB$16="Alta",'Mapa final'!$AD$16="Menor"),CONCATENATE("R1C",'Mapa final'!$R$16),"")</f>
        <v/>
      </c>
      <c r="V16" s="45" t="str">
        <f ca="1">IF(AND('Mapa final'!$AB$11="Alta",'Mapa final'!$AD$11="Moderado"),CONCATENATE("R1C",'Mapa final'!$R$11),"")</f>
        <v/>
      </c>
      <c r="W16" s="46" t="str">
        <f ca="1">IF(AND('Mapa final'!$AB$12="Alta",'Mapa final'!$AD$12="Moderado"),CONCATENATE("R1C",'Mapa final'!$R$12),"")</f>
        <v/>
      </c>
      <c r="X16" s="46" t="str">
        <f>IF(AND('Mapa final'!$AB$13="Alta",'Mapa final'!$AD$13="Moderado"),CONCATENATE("R1C",'Mapa final'!$R$13),"")</f>
        <v/>
      </c>
      <c r="Y16" s="46" t="str">
        <f>IF(AND('Mapa final'!$AB$14="Alta",'Mapa final'!$AD$14="Moderado"),CONCATENATE("R1C",'Mapa final'!$R$14),"")</f>
        <v/>
      </c>
      <c r="Z16" s="46" t="str">
        <f>IF(AND('Mapa final'!$AB$15="Alta",'Mapa final'!$AD$15="Moderado"),CONCATENATE("R1C",'Mapa final'!$R$15),"")</f>
        <v/>
      </c>
      <c r="AA16" s="47" t="str">
        <f>IF(AND('Mapa final'!$AB$16="Alta",'Mapa final'!$AD$16="Moderado"),CONCATENATE("R1C",'Mapa final'!$R$16),"")</f>
        <v/>
      </c>
      <c r="AB16" s="45" t="str">
        <f ca="1">IF(AND('Mapa final'!$AB$11="Alta",'Mapa final'!$AD$11="Mayor"),CONCATENATE("R1C",'Mapa final'!$R$11),"")</f>
        <v/>
      </c>
      <c r="AC16" s="46" t="str">
        <f ca="1">IF(AND('Mapa final'!$AB$12="Alta",'Mapa final'!$AD$12="Mayor"),CONCATENATE("R1C",'Mapa final'!$R$12),"")</f>
        <v/>
      </c>
      <c r="AD16" s="46" t="str">
        <f>IF(AND('Mapa final'!$AB$13="Alta",'Mapa final'!$AD$13="Mayor"),CONCATENATE("R1C",'Mapa final'!$R$13),"")</f>
        <v/>
      </c>
      <c r="AE16" s="46" t="str">
        <f>IF(AND('Mapa final'!$AB$14="Alta",'Mapa final'!$AD$14="Mayor"),CONCATENATE("R1C",'Mapa final'!$R$14),"")</f>
        <v/>
      </c>
      <c r="AF16" s="46" t="str">
        <f>IF(AND('Mapa final'!$AB$15="Alta",'Mapa final'!$AD$15="Mayor"),CONCATENATE("R1C",'Mapa final'!$R$15),"")</f>
        <v/>
      </c>
      <c r="AG16" s="47" t="str">
        <f>IF(AND('Mapa final'!$AB$16="Alta",'Mapa final'!$AD$16="Mayor"),CONCATENATE("R1C",'Mapa final'!$R$16),"")</f>
        <v/>
      </c>
      <c r="AH16" s="48" t="str">
        <f ca="1">IF(AND('Mapa final'!$AB$11="Alta",'Mapa final'!$AD$11="Catastrófico"),CONCATENATE("R1C",'Mapa final'!$R$11),"")</f>
        <v/>
      </c>
      <c r="AI16" s="49" t="str">
        <f ca="1">IF(AND('Mapa final'!$AB$12="Alta",'Mapa final'!$AD$12="Catastrófico"),CONCATENATE("R1C",'Mapa final'!$R$12),"")</f>
        <v/>
      </c>
      <c r="AJ16" s="49" t="str">
        <f>IF(AND('Mapa final'!$AB$13="Alta",'Mapa final'!$AD$13="Catastrófico"),CONCATENATE("R1C",'Mapa final'!$R$13),"")</f>
        <v/>
      </c>
      <c r="AK16" s="49" t="str">
        <f>IF(AND('Mapa final'!$AB$14="Alta",'Mapa final'!$AD$14="Catastrófico"),CONCATENATE("R1C",'Mapa final'!$R$14),"")</f>
        <v/>
      </c>
      <c r="AL16" s="49" t="str">
        <f>IF(AND('Mapa final'!$AB$15="Alta",'Mapa final'!$AD$15="Catastrófico"),CONCATENATE("R1C",'Mapa final'!$R$15),"")</f>
        <v/>
      </c>
      <c r="AM16" s="50" t="str">
        <f>IF(AND('Mapa final'!$AB$16="Alta",'Mapa final'!$AD$16="Catastrófico"),CONCATENATE("R1C",'Mapa final'!$R$16),"")</f>
        <v/>
      </c>
      <c r="AN16" s="83"/>
      <c r="AO16" s="372" t="s">
        <v>77</v>
      </c>
      <c r="AP16" s="373"/>
      <c r="AQ16" s="373"/>
      <c r="AR16" s="373"/>
      <c r="AS16" s="373"/>
      <c r="AT16" s="37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4"/>
      <c r="C17" s="284"/>
      <c r="D17" s="285"/>
      <c r="E17" s="383"/>
      <c r="F17" s="384"/>
      <c r="G17" s="384"/>
      <c r="H17" s="384"/>
      <c r="I17" s="384"/>
      <c r="J17" s="67" t="str">
        <f ca="1">IF(AND('Mapa final'!$AB$17="Alta",'Mapa final'!$AD$17="Leve"),CONCATENATE("R2C",'Mapa final'!$R$17),"")</f>
        <v/>
      </c>
      <c r="K17" s="68" t="str">
        <f ca="1">IF(AND('Mapa final'!$AB$18="Alta",'Mapa final'!$AD$18="Leve"),CONCATENATE("R2C",'Mapa final'!$R$18),"")</f>
        <v/>
      </c>
      <c r="L17" s="68" t="str">
        <f ca="1">IF(AND('Mapa final'!$AB$19="Alta",'Mapa final'!$AD$19="Leve"),CONCATENATE("R2C",'Mapa final'!$R$19),"")</f>
        <v/>
      </c>
      <c r="M17" s="68" t="str">
        <f>IF(AND('Mapa final'!$AB$20="Alta",'Mapa final'!$AD$20="Leve"),CONCATENATE("R2C",'Mapa final'!$R$20),"")</f>
        <v/>
      </c>
      <c r="N17" s="68" t="str">
        <f>IF(AND('Mapa final'!$AB$21="Alta",'Mapa final'!$AD$21="Leve"),CONCATENATE("R2C",'Mapa final'!$R$21),"")</f>
        <v/>
      </c>
      <c r="O17" s="69" t="str">
        <f>IF(AND('Mapa final'!$AB$22="Alta",'Mapa final'!$AD$22="Leve"),CONCATENATE("R2C",'Mapa final'!$R$22),"")</f>
        <v/>
      </c>
      <c r="P17" s="67" t="str">
        <f ca="1">IF(AND('Mapa final'!$AB$17="Alta",'Mapa final'!$AD$17="Menor"),CONCATENATE("R2C",'Mapa final'!$R$17),"")</f>
        <v/>
      </c>
      <c r="Q17" s="68" t="str">
        <f ca="1">IF(AND('Mapa final'!$AB$18="Alta",'Mapa final'!$AD$18="Menor"),CONCATENATE("R2C",'Mapa final'!$R$18),"")</f>
        <v/>
      </c>
      <c r="R17" s="68" t="str">
        <f ca="1">IF(AND('Mapa final'!$AB$19="Alta",'Mapa final'!$AD$19="Menor"),CONCATENATE("R2C",'Mapa final'!$R$19),"")</f>
        <v/>
      </c>
      <c r="S17" s="68" t="str">
        <f>IF(AND('Mapa final'!$AB$20="Alta",'Mapa final'!$AD$20="Menor"),CONCATENATE("R2C",'Mapa final'!$R$20),"")</f>
        <v/>
      </c>
      <c r="T17" s="68" t="str">
        <f>IF(AND('Mapa final'!$AB$21="Alta",'Mapa final'!$AD$21="Menor"),CONCATENATE("R2C",'Mapa final'!$R$21),"")</f>
        <v/>
      </c>
      <c r="U17" s="69" t="str">
        <f>IF(AND('Mapa final'!$AB$22="Alta",'Mapa final'!$AD$22="Menor"),CONCATENATE("R2C",'Mapa final'!$R$22),"")</f>
        <v/>
      </c>
      <c r="V17" s="51" t="str">
        <f ca="1">IF(AND('Mapa final'!$AB$17="Alta",'Mapa final'!$AD$17="Moderado"),CONCATENATE("R2C",'Mapa final'!$R$17),"")</f>
        <v/>
      </c>
      <c r="W17" s="52" t="str">
        <f ca="1">IF(AND('Mapa final'!$AB$18="Alta",'Mapa final'!$AD$18="Moderado"),CONCATENATE("R2C",'Mapa final'!$R$18),"")</f>
        <v/>
      </c>
      <c r="X17" s="52" t="str">
        <f ca="1">IF(AND('Mapa final'!$AB$19="Alta",'Mapa final'!$AD$19="Moderado"),CONCATENATE("R2C",'Mapa final'!$R$19),"")</f>
        <v/>
      </c>
      <c r="Y17" s="52" t="str">
        <f>IF(AND('Mapa final'!$AB$20="Alta",'Mapa final'!$AD$20="Moderado"),CONCATENATE("R2C",'Mapa final'!$R$20),"")</f>
        <v/>
      </c>
      <c r="Z17" s="52" t="str">
        <f>IF(AND('Mapa final'!$AB$21="Alta",'Mapa final'!$AD$21="Moderado"),CONCATENATE("R2C",'Mapa final'!$R$21),"")</f>
        <v/>
      </c>
      <c r="AA17" s="53" t="str">
        <f>IF(AND('Mapa final'!$AB$22="Alta",'Mapa final'!$AD$22="Moderado"),CONCATENATE("R2C",'Mapa final'!$R$22),"")</f>
        <v/>
      </c>
      <c r="AB17" s="51" t="str">
        <f ca="1">IF(AND('Mapa final'!$AB$17="Alta",'Mapa final'!$AD$17="Mayor"),CONCATENATE("R2C",'Mapa final'!$R$17),"")</f>
        <v/>
      </c>
      <c r="AC17" s="52" t="str">
        <f ca="1">IF(AND('Mapa final'!$AB$18="Alta",'Mapa final'!$AD$18="Mayor"),CONCATENATE("R2C",'Mapa final'!$R$18),"")</f>
        <v/>
      </c>
      <c r="AD17" s="52" t="str">
        <f ca="1">IF(AND('Mapa final'!$AB$19="Alta",'Mapa final'!$AD$19="Mayor"),CONCATENATE("R2C",'Mapa final'!$R$19),"")</f>
        <v/>
      </c>
      <c r="AE17" s="52" t="str">
        <f>IF(AND('Mapa final'!$AB$20="Alta",'Mapa final'!$AD$20="Mayor"),CONCATENATE("R2C",'Mapa final'!$R$20),"")</f>
        <v/>
      </c>
      <c r="AF17" s="52" t="str">
        <f>IF(AND('Mapa final'!$AB$21="Alta",'Mapa final'!$AD$21="Mayor"),CONCATENATE("R2C",'Mapa final'!$R$21),"")</f>
        <v/>
      </c>
      <c r="AG17" s="53" t="str">
        <f>IF(AND('Mapa final'!$AB$22="Alta",'Mapa final'!$AD$22="Mayor"),CONCATENATE("R2C",'Mapa final'!$R$22),"")</f>
        <v/>
      </c>
      <c r="AH17" s="54" t="str">
        <f ca="1">IF(AND('Mapa final'!$AB$17="Alta",'Mapa final'!$AD$17="Catastrófico"),CONCATENATE("R2C",'Mapa final'!$R$17),"")</f>
        <v/>
      </c>
      <c r="AI17" s="55" t="str">
        <f ca="1">IF(AND('Mapa final'!$AB$18="Alta",'Mapa final'!$AD$18="Catastrófico"),CONCATENATE("R2C",'Mapa final'!$R$18),"")</f>
        <v/>
      </c>
      <c r="AJ17" s="55" t="str">
        <f ca="1">IF(AND('Mapa final'!$AB$19="Alta",'Mapa final'!$AD$19="Catastrófico"),CONCATENATE("R2C",'Mapa final'!$R$19),"")</f>
        <v/>
      </c>
      <c r="AK17" s="55" t="str">
        <f>IF(AND('Mapa final'!$AB$20="Alta",'Mapa final'!$AD$20="Catastrófico"),CONCATENATE("R2C",'Mapa final'!$R$20),"")</f>
        <v/>
      </c>
      <c r="AL17" s="55" t="str">
        <f>IF(AND('Mapa final'!$AB$21="Alta",'Mapa final'!$AD$21="Catastrófico"),CONCATENATE("R2C",'Mapa final'!$R$21),"")</f>
        <v/>
      </c>
      <c r="AM17" s="56" t="str">
        <f>IF(AND('Mapa final'!$AB$22="Alta",'Mapa final'!$AD$22="Catastrófico"),CONCATENATE("R2C",'Mapa final'!$R$22),"")</f>
        <v/>
      </c>
      <c r="AN17" s="83"/>
      <c r="AO17" s="375"/>
      <c r="AP17" s="376"/>
      <c r="AQ17" s="376"/>
      <c r="AR17" s="376"/>
      <c r="AS17" s="376"/>
      <c r="AT17" s="37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4"/>
      <c r="C18" s="284"/>
      <c r="D18" s="285"/>
      <c r="E18" s="385"/>
      <c r="F18" s="386"/>
      <c r="G18" s="386"/>
      <c r="H18" s="386"/>
      <c r="I18" s="384"/>
      <c r="J18" s="67" t="str">
        <f ca="1">IF(AND('Mapa final'!$AB$23="Alta",'Mapa final'!$AD$23="Leve"),CONCATENATE("R3C",'Mapa final'!$R$23),"")</f>
        <v/>
      </c>
      <c r="K18" s="68" t="str">
        <f ca="1">IF(AND('Mapa final'!$AB$24="Alta",'Mapa final'!$AD$24="Leve"),CONCATENATE("R3C",'Mapa final'!$R$24),"")</f>
        <v/>
      </c>
      <c r="L18" s="68" t="str">
        <f ca="1">IF(AND('Mapa final'!$AB$25="Alta",'Mapa final'!$AD$25="Leve"),CONCATENATE("R3C",'Mapa final'!$R$25),"")</f>
        <v/>
      </c>
      <c r="M18" s="68" t="str">
        <f ca="1">IF(AND('Mapa final'!$AB$26="Alta",'Mapa final'!$AD$26="Leve"),CONCATENATE("R3C",'Mapa final'!$R$26),"")</f>
        <v/>
      </c>
      <c r="N18" s="68" t="str">
        <f ca="1">IF(AND('Mapa final'!$AB$27="Alta",'Mapa final'!$AD$27="Leve"),CONCATENATE("R3C",'Mapa final'!$R$27),"")</f>
        <v/>
      </c>
      <c r="O18" s="69" t="str">
        <f>IF(AND('Mapa final'!$AB$28="Alta",'Mapa final'!$AD$28="Leve"),CONCATENATE("R3C",'Mapa final'!$R$28),"")</f>
        <v/>
      </c>
      <c r="P18" s="67" t="str">
        <f ca="1">IF(AND('Mapa final'!$AB$23="Alta",'Mapa final'!$AD$23="Menor"),CONCATENATE("R3C",'Mapa final'!$R$23),"")</f>
        <v/>
      </c>
      <c r="Q18" s="68" t="str">
        <f ca="1">IF(AND('Mapa final'!$AB$24="Alta",'Mapa final'!$AD$24="Menor"),CONCATENATE("R3C",'Mapa final'!$R$24),"")</f>
        <v/>
      </c>
      <c r="R18" s="68" t="str">
        <f ca="1">IF(AND('Mapa final'!$AB$25="Alta",'Mapa final'!$AD$25="Menor"),CONCATENATE("R3C",'Mapa final'!$R$25),"")</f>
        <v/>
      </c>
      <c r="S18" s="68" t="str">
        <f ca="1">IF(AND('Mapa final'!$AB$26="Alta",'Mapa final'!$AD$26="Menor"),CONCATENATE("R3C",'Mapa final'!$R$26),"")</f>
        <v/>
      </c>
      <c r="T18" s="68" t="str">
        <f ca="1">IF(AND('Mapa final'!$AB$27="Alta",'Mapa final'!$AD$27="Menor"),CONCATENATE("R3C",'Mapa final'!$R$27),"")</f>
        <v/>
      </c>
      <c r="U18" s="69" t="str">
        <f>IF(AND('Mapa final'!$AB$28="Alta",'Mapa final'!$AD$28="Menor"),CONCATENATE("R3C",'Mapa final'!$R$28),"")</f>
        <v/>
      </c>
      <c r="V18" s="51" t="str">
        <f ca="1">IF(AND('Mapa final'!$AB$23="Alta",'Mapa final'!$AD$23="Moderado"),CONCATENATE("R3C",'Mapa final'!$R$23),"")</f>
        <v/>
      </c>
      <c r="W18" s="52" t="str">
        <f ca="1">IF(AND('Mapa final'!$AB$24="Alta",'Mapa final'!$AD$24="Moderado"),CONCATENATE("R3C",'Mapa final'!$R$24),"")</f>
        <v/>
      </c>
      <c r="X18" s="52" t="str">
        <f ca="1">IF(AND('Mapa final'!$AB$25="Alta",'Mapa final'!$AD$25="Moderado"),CONCATENATE("R3C",'Mapa final'!$R$25),"")</f>
        <v/>
      </c>
      <c r="Y18" s="52" t="str">
        <f ca="1">IF(AND('Mapa final'!$AB$26="Alta",'Mapa final'!$AD$26="Moderado"),CONCATENATE("R3C",'Mapa final'!$R$26),"")</f>
        <v/>
      </c>
      <c r="Z18" s="52" t="str">
        <f ca="1">IF(AND('Mapa final'!$AB$27="Alta",'Mapa final'!$AD$27="Moderado"),CONCATENATE("R3C",'Mapa final'!$R$27),"")</f>
        <v/>
      </c>
      <c r="AA18" s="53" t="str">
        <f>IF(AND('Mapa final'!$AB$28="Alta",'Mapa final'!$AD$28="Moderado"),CONCATENATE("R3C",'Mapa final'!$R$28),"")</f>
        <v/>
      </c>
      <c r="AB18" s="51" t="str">
        <f ca="1">IF(AND('Mapa final'!$AB$23="Alta",'Mapa final'!$AD$23="Mayor"),CONCATENATE("R3C",'Mapa final'!$R$23),"")</f>
        <v/>
      </c>
      <c r="AC18" s="52" t="str">
        <f ca="1">IF(AND('Mapa final'!$AB$24="Alta",'Mapa final'!$AD$24="Mayor"),CONCATENATE("R3C",'Mapa final'!$R$24),"")</f>
        <v/>
      </c>
      <c r="AD18" s="52" t="str">
        <f ca="1">IF(AND('Mapa final'!$AB$25="Alta",'Mapa final'!$AD$25="Mayor"),CONCATENATE("R3C",'Mapa final'!$R$25),"")</f>
        <v/>
      </c>
      <c r="AE18" s="52" t="str">
        <f ca="1">IF(AND('Mapa final'!$AB$26="Alta",'Mapa final'!$AD$26="Mayor"),CONCATENATE("R3C",'Mapa final'!$R$26),"")</f>
        <v/>
      </c>
      <c r="AF18" s="52" t="str">
        <f ca="1">IF(AND('Mapa final'!$AB$27="Alta",'Mapa final'!$AD$27="Mayor"),CONCATENATE("R3C",'Mapa final'!$R$27),"")</f>
        <v/>
      </c>
      <c r="AG18" s="53" t="str">
        <f>IF(AND('Mapa final'!$AB$28="Alta",'Mapa final'!$AD$28="Mayor"),CONCATENATE("R3C",'Mapa final'!$R$28),"")</f>
        <v/>
      </c>
      <c r="AH18" s="54" t="str">
        <f ca="1">IF(AND('Mapa final'!$AB$23="Alta",'Mapa final'!$AD$23="Catastrófico"),CONCATENATE("R3C",'Mapa final'!$R$23),"")</f>
        <v/>
      </c>
      <c r="AI18" s="55" t="str">
        <f ca="1">IF(AND('Mapa final'!$AB$24="Alta",'Mapa final'!$AD$24="Catastrófico"),CONCATENATE("R3C",'Mapa final'!$R$24),"")</f>
        <v/>
      </c>
      <c r="AJ18" s="55" t="str">
        <f ca="1">IF(AND('Mapa final'!$AB$25="Alta",'Mapa final'!$AD$25="Catastrófico"),CONCATENATE("R3C",'Mapa final'!$R$25),"")</f>
        <v/>
      </c>
      <c r="AK18" s="55" t="str">
        <f ca="1">IF(AND('Mapa final'!$AB$26="Alta",'Mapa final'!$AD$26="Catastrófico"),CONCATENATE("R3C",'Mapa final'!$R$26),"")</f>
        <v/>
      </c>
      <c r="AL18" s="55" t="str">
        <f ca="1">IF(AND('Mapa final'!$AB$27="Alta",'Mapa final'!$AD$27="Catastrófico"),CONCATENATE("R3C",'Mapa final'!$R$27),"")</f>
        <v/>
      </c>
      <c r="AM18" s="56" t="str">
        <f>IF(AND('Mapa final'!$AB$28="Alta",'Mapa final'!$AD$28="Catastrófico"),CONCATENATE("R3C",'Mapa final'!$R$28),"")</f>
        <v/>
      </c>
      <c r="AN18" s="83"/>
      <c r="AO18" s="375"/>
      <c r="AP18" s="376"/>
      <c r="AQ18" s="376"/>
      <c r="AR18" s="376"/>
      <c r="AS18" s="376"/>
      <c r="AT18" s="37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4"/>
      <c r="C19" s="284"/>
      <c r="D19" s="285"/>
      <c r="E19" s="385"/>
      <c r="F19" s="386"/>
      <c r="G19" s="386"/>
      <c r="H19" s="386"/>
      <c r="I19" s="384"/>
      <c r="J19" s="67" t="str">
        <f ca="1">IF(AND('Mapa final'!$AB$29="Alta",'Mapa final'!$AD$29="Leve"),CONCATENATE("R4C",'Mapa final'!$R$29),"")</f>
        <v/>
      </c>
      <c r="K19" s="68" t="str">
        <f ca="1">IF(AND('Mapa final'!$AB$30="Alta",'Mapa final'!$AD$30="Leve"),CONCATENATE("R4C",'Mapa final'!$R$30),"")</f>
        <v/>
      </c>
      <c r="L19" s="68" t="str">
        <f ca="1">IF(AND('Mapa final'!$AB$31="Alta",'Mapa final'!$AD$31="Leve"),CONCATENATE("R4C",'Mapa final'!$R$31),"")</f>
        <v/>
      </c>
      <c r="M19" s="68" t="str">
        <f ca="1">IF(AND('Mapa final'!$AB$32="Alta",'Mapa final'!$AD$32="Leve"),CONCATENATE("R4C",'Mapa final'!$R$32),"")</f>
        <v/>
      </c>
      <c r="N19" s="68" t="str">
        <f>IF(AND('Mapa final'!$AB$33="Alta",'Mapa final'!$AD$33="Leve"),CONCATENATE("R4C",'Mapa final'!$R$33),"")</f>
        <v/>
      </c>
      <c r="O19" s="69" t="str">
        <f>IF(AND('Mapa final'!$AB$34="Alta",'Mapa final'!$AD$34="Leve"),CONCATENATE("R4C",'Mapa final'!$R$34),"")</f>
        <v/>
      </c>
      <c r="P19" s="67" t="str">
        <f ca="1">IF(AND('Mapa final'!$AB$29="Alta",'Mapa final'!$AD$29="Menor"),CONCATENATE("R4C",'Mapa final'!$R$29),"")</f>
        <v/>
      </c>
      <c r="Q19" s="68" t="str">
        <f ca="1">IF(AND('Mapa final'!$AB$30="Alta",'Mapa final'!$AD$30="Menor"),CONCATENATE("R4C",'Mapa final'!$R$30),"")</f>
        <v/>
      </c>
      <c r="R19" s="68" t="str">
        <f ca="1">IF(AND('Mapa final'!$AB$31="Alta",'Mapa final'!$AD$31="Menor"),CONCATENATE("R4C",'Mapa final'!$R$31),"")</f>
        <v/>
      </c>
      <c r="S19" s="68" t="str">
        <f ca="1">IF(AND('Mapa final'!$AB$32="Alta",'Mapa final'!$AD$32="Menor"),CONCATENATE("R4C",'Mapa final'!$R$32),"")</f>
        <v/>
      </c>
      <c r="T19" s="68" t="str">
        <f>IF(AND('Mapa final'!$AB$33="Alta",'Mapa final'!$AD$33="Menor"),CONCATENATE("R4C",'Mapa final'!$R$33),"")</f>
        <v/>
      </c>
      <c r="U19" s="69" t="str">
        <f>IF(AND('Mapa final'!$AB$34="Alta",'Mapa final'!$AD$34="Menor"),CONCATENATE("R4C",'Mapa final'!$R$34),"")</f>
        <v/>
      </c>
      <c r="V19" s="51" t="str">
        <f ca="1">IF(AND('Mapa final'!$AB$29="Alta",'Mapa final'!$AD$29="Moderado"),CONCATENATE("R4C",'Mapa final'!$R$29),"")</f>
        <v/>
      </c>
      <c r="W19" s="52" t="str">
        <f ca="1">IF(AND('Mapa final'!$AB$30="Alta",'Mapa final'!$AD$30="Moderado"),CONCATENATE("R4C",'Mapa final'!$R$30),"")</f>
        <v/>
      </c>
      <c r="X19" s="57" t="str">
        <f ca="1">IF(AND('Mapa final'!$AB$31="Alta",'Mapa final'!$AD$31="Moderado"),CONCATENATE("R4C",'Mapa final'!$R$31),"")</f>
        <v/>
      </c>
      <c r="Y19" s="57" t="str">
        <f ca="1">IF(AND('Mapa final'!$AB$32="Alta",'Mapa final'!$AD$32="Moderado"),CONCATENATE("R4C",'Mapa final'!$R$32),"")</f>
        <v/>
      </c>
      <c r="Z19" s="57" t="str">
        <f>IF(AND('Mapa final'!$AB$33="Alta",'Mapa final'!$AD$33="Moderado"),CONCATENATE("R4C",'Mapa final'!$R$33),"")</f>
        <v/>
      </c>
      <c r="AA19" s="53" t="str">
        <f>IF(AND('Mapa final'!$AB$34="Alta",'Mapa final'!$AD$34="Moderado"),CONCATENATE("R4C",'Mapa final'!$R$34),"")</f>
        <v/>
      </c>
      <c r="AB19" s="51" t="str">
        <f ca="1">IF(AND('Mapa final'!$AB$29="Alta",'Mapa final'!$AD$29="Mayor"),CONCATENATE("R4C",'Mapa final'!$R$29),"")</f>
        <v/>
      </c>
      <c r="AC19" s="52" t="str">
        <f ca="1">IF(AND('Mapa final'!$AB$30="Alta",'Mapa final'!$AD$30="Mayor"),CONCATENATE("R4C",'Mapa final'!$R$30),"")</f>
        <v/>
      </c>
      <c r="AD19" s="57" t="str">
        <f ca="1">IF(AND('Mapa final'!$AB$31="Alta",'Mapa final'!$AD$31="Mayor"),CONCATENATE("R4C",'Mapa final'!$R$31),"")</f>
        <v/>
      </c>
      <c r="AE19" s="57" t="str">
        <f ca="1">IF(AND('Mapa final'!$AB$32="Alta",'Mapa final'!$AD$32="Mayor"),CONCATENATE("R4C",'Mapa final'!$R$32),"")</f>
        <v/>
      </c>
      <c r="AF19" s="57" t="str">
        <f>IF(AND('Mapa final'!$AB$33="Alta",'Mapa final'!$AD$33="Mayor"),CONCATENATE("R4C",'Mapa final'!$R$33),"")</f>
        <v/>
      </c>
      <c r="AG19" s="53" t="str">
        <f>IF(AND('Mapa final'!$AB$34="Alta",'Mapa final'!$AD$34="Mayor"),CONCATENATE("R4C",'Mapa final'!$R$34),"")</f>
        <v/>
      </c>
      <c r="AH19" s="54" t="str">
        <f ca="1">IF(AND('Mapa final'!$AB$29="Alta",'Mapa final'!$AD$29="Catastrófico"),CONCATENATE("R4C",'Mapa final'!$R$29),"")</f>
        <v/>
      </c>
      <c r="AI19" s="55" t="str">
        <f ca="1">IF(AND('Mapa final'!$AB$30="Alta",'Mapa final'!$AD$30="Catastrófico"),CONCATENATE("R4C",'Mapa final'!$R$30),"")</f>
        <v/>
      </c>
      <c r="AJ19" s="55" t="str">
        <f ca="1">IF(AND('Mapa final'!$AB$31="Alta",'Mapa final'!$AD$31="Catastrófico"),CONCATENATE("R4C",'Mapa final'!$R$31),"")</f>
        <v/>
      </c>
      <c r="AK19" s="55" t="str">
        <f ca="1">IF(AND('Mapa final'!$AB$32="Alta",'Mapa final'!$AD$32="Catastrófico"),CONCATENATE("R4C",'Mapa final'!$R$32),"")</f>
        <v/>
      </c>
      <c r="AL19" s="55" t="str">
        <f>IF(AND('Mapa final'!$AB$33="Alta",'Mapa final'!$AD$33="Catastrófico"),CONCATENATE("R4C",'Mapa final'!$R$33),"")</f>
        <v/>
      </c>
      <c r="AM19" s="56" t="str">
        <f>IF(AND('Mapa final'!$AB$34="Alta",'Mapa final'!$AD$34="Catastrófico"),CONCATENATE("R4C",'Mapa final'!$R$34),"")</f>
        <v/>
      </c>
      <c r="AN19" s="83"/>
      <c r="AO19" s="375"/>
      <c r="AP19" s="376"/>
      <c r="AQ19" s="376"/>
      <c r="AR19" s="376"/>
      <c r="AS19" s="376"/>
      <c r="AT19" s="37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4"/>
      <c r="C20" s="284"/>
      <c r="D20" s="285"/>
      <c r="E20" s="385"/>
      <c r="F20" s="386"/>
      <c r="G20" s="386"/>
      <c r="H20" s="386"/>
      <c r="I20" s="384"/>
      <c r="J20" s="67" t="str">
        <f ca="1">IF(AND('Mapa final'!$AB$41="Alta",'Mapa final'!$AD$41="Leve"),CONCATENATE("R5C",'Mapa final'!$R$41),"")</f>
        <v/>
      </c>
      <c r="K20" s="68" t="str">
        <f ca="1">IF(AND('Mapa final'!$AB$42="Alta",'Mapa final'!$AD$42="Leve"),CONCATENATE("R5C",'Mapa final'!$R$42),"")</f>
        <v/>
      </c>
      <c r="L20" s="68" t="str">
        <f ca="1">IF(AND('Mapa final'!$AB$43="Alta",'Mapa final'!$AD$43="Leve"),CONCATENATE("R5C",'Mapa final'!$R$43),"")</f>
        <v/>
      </c>
      <c r="M20" s="68" t="str">
        <f ca="1">IF(AND('Mapa final'!$AB$44="Alta",'Mapa final'!$AD$44="Leve"),CONCATENATE("R5C",'Mapa final'!$R$44),"")</f>
        <v/>
      </c>
      <c r="N20" s="68" t="str">
        <f>IF(AND('Mapa final'!$AB$45="Alta",'Mapa final'!$AD$45="Leve"),CONCATENATE("R5C",'Mapa final'!$R$45),"")</f>
        <v/>
      </c>
      <c r="O20" s="69" t="str">
        <f>IF(AND('Mapa final'!$AB$46="Alta",'Mapa final'!$AD$46="Leve"),CONCATENATE("R5C",'Mapa final'!$R$46),"")</f>
        <v/>
      </c>
      <c r="P20" s="67" t="str">
        <f ca="1">IF(AND('Mapa final'!$AB$41="Alta",'Mapa final'!$AD$41="Menor"),CONCATENATE("R5C",'Mapa final'!$R$41),"")</f>
        <v/>
      </c>
      <c r="Q20" s="68" t="str">
        <f ca="1">IF(AND('Mapa final'!$AB$42="Alta",'Mapa final'!$AD$42="Menor"),CONCATENATE("R5C",'Mapa final'!$R$42),"")</f>
        <v/>
      </c>
      <c r="R20" s="68" t="str">
        <f ca="1">IF(AND('Mapa final'!$AB$43="Alta",'Mapa final'!$AD$43="Menor"),CONCATENATE("R5C",'Mapa final'!$R$43),"")</f>
        <v/>
      </c>
      <c r="S20" s="68" t="str">
        <f ca="1">IF(AND('Mapa final'!$AB$44="Alta",'Mapa final'!$AD$44="Menor"),CONCATENATE("R5C",'Mapa final'!$R$44),"")</f>
        <v/>
      </c>
      <c r="T20" s="68" t="str">
        <f>IF(AND('Mapa final'!$AB$45="Alta",'Mapa final'!$AD$45="Menor"),CONCATENATE("R5C",'Mapa final'!$R$45),"")</f>
        <v/>
      </c>
      <c r="U20" s="69" t="str">
        <f>IF(AND('Mapa final'!$AB$46="Alta",'Mapa final'!$AD$46="Menor"),CONCATENATE("R5C",'Mapa final'!$R$46),"")</f>
        <v/>
      </c>
      <c r="V20" s="51" t="str">
        <f ca="1">IF(AND('Mapa final'!$AB$41="Alta",'Mapa final'!$AD$41="Moderado"),CONCATENATE("R5C",'Mapa final'!$R$41),"")</f>
        <v/>
      </c>
      <c r="W20" s="52" t="str">
        <f ca="1">IF(AND('Mapa final'!$AB$42="Alta",'Mapa final'!$AD$42="Moderado"),CONCATENATE("R5C",'Mapa final'!$R$42),"")</f>
        <v/>
      </c>
      <c r="X20" s="57" t="str">
        <f ca="1">IF(AND('Mapa final'!$AB$43="Alta",'Mapa final'!$AD$43="Moderado"),CONCATENATE("R5C",'Mapa final'!$R$43),"")</f>
        <v/>
      </c>
      <c r="Y20" s="57" t="str">
        <f ca="1">IF(AND('Mapa final'!$AB$44="Alta",'Mapa final'!$AD$44="Moderado"),CONCATENATE("R5C",'Mapa final'!$R$44),"")</f>
        <v/>
      </c>
      <c r="Z20" s="57" t="str">
        <f>IF(AND('Mapa final'!$AB$45="Alta",'Mapa final'!$AD$45="Moderado"),CONCATENATE("R5C",'Mapa final'!$R$45),"")</f>
        <v/>
      </c>
      <c r="AA20" s="53" t="str">
        <f>IF(AND('Mapa final'!$AB$46="Alta",'Mapa final'!$AD$46="Moderado"),CONCATENATE("R5C",'Mapa final'!$R$46),"")</f>
        <v/>
      </c>
      <c r="AB20" s="51" t="str">
        <f ca="1">IF(AND('Mapa final'!$AB$41="Alta",'Mapa final'!$AD$41="Mayor"),CONCATENATE("R5C",'Mapa final'!$R$41),"")</f>
        <v/>
      </c>
      <c r="AC20" s="52" t="str">
        <f ca="1">IF(AND('Mapa final'!$AB$42="Alta",'Mapa final'!$AD$42="Mayor"),CONCATENATE("R5C",'Mapa final'!$R$42),"")</f>
        <v/>
      </c>
      <c r="AD20" s="57" t="str">
        <f ca="1">IF(AND('Mapa final'!$AB$43="Alta",'Mapa final'!$AD$43="Mayor"),CONCATENATE("R5C",'Mapa final'!$R$43),"")</f>
        <v/>
      </c>
      <c r="AE20" s="57" t="str">
        <f ca="1">IF(AND('Mapa final'!$AB$44="Alta",'Mapa final'!$AD$44="Mayor"),CONCATENATE("R5C",'Mapa final'!$R$44),"")</f>
        <v/>
      </c>
      <c r="AF20" s="57" t="str">
        <f>IF(AND('Mapa final'!$AB$45="Alta",'Mapa final'!$AD$45="Mayor"),CONCATENATE("R5C",'Mapa final'!$R$45),"")</f>
        <v/>
      </c>
      <c r="AG20" s="53" t="str">
        <f>IF(AND('Mapa final'!$AB$46="Alta",'Mapa final'!$AD$46="Mayor"),CONCATENATE("R5C",'Mapa final'!$R$46),"")</f>
        <v/>
      </c>
      <c r="AH20" s="54" t="str">
        <f ca="1">IF(AND('Mapa final'!$AB$41="Alta",'Mapa final'!$AD$41="Catastrófico"),CONCATENATE("R5C",'Mapa final'!$R$41),"")</f>
        <v/>
      </c>
      <c r="AI20" s="55" t="str">
        <f ca="1">IF(AND('Mapa final'!$AB$42="Alta",'Mapa final'!$AD$42="Catastrófico"),CONCATENATE("R5C",'Mapa final'!$R$42),"")</f>
        <v/>
      </c>
      <c r="AJ20" s="55" t="str">
        <f ca="1">IF(AND('Mapa final'!$AB$43="Alta",'Mapa final'!$AD$43="Catastrófico"),CONCATENATE("R5C",'Mapa final'!$R$43),"")</f>
        <v/>
      </c>
      <c r="AK20" s="55" t="str">
        <f ca="1">IF(AND('Mapa final'!$AB$44="Alta",'Mapa final'!$AD$44="Catastrófico"),CONCATENATE("R5C",'Mapa final'!$R$44),"")</f>
        <v/>
      </c>
      <c r="AL20" s="55" t="str">
        <f>IF(AND('Mapa final'!$AB$45="Alta",'Mapa final'!$AD$45="Catastrófico"),CONCATENATE("R5C",'Mapa final'!$R$45),"")</f>
        <v/>
      </c>
      <c r="AM20" s="56" t="str">
        <f>IF(AND('Mapa final'!$AB$46="Alta",'Mapa final'!$AD$46="Catastrófico"),CONCATENATE("R5C",'Mapa final'!$R$46),"")</f>
        <v/>
      </c>
      <c r="AN20" s="83"/>
      <c r="AO20" s="375"/>
      <c r="AP20" s="376"/>
      <c r="AQ20" s="376"/>
      <c r="AR20" s="376"/>
      <c r="AS20" s="376"/>
      <c r="AT20" s="37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4"/>
      <c r="C21" s="284"/>
      <c r="D21" s="285"/>
      <c r="E21" s="385"/>
      <c r="F21" s="386"/>
      <c r="G21" s="386"/>
      <c r="H21" s="386"/>
      <c r="I21" s="384"/>
      <c r="J21" s="67" t="e">
        <f>IF(AND('Mapa final'!#REF!="Alta",'Mapa final'!#REF!="Leve"),CONCATENATE("R6C",'Mapa final'!#REF!),"")</f>
        <v>#REF!</v>
      </c>
      <c r="K21" s="68" t="e">
        <f>IF(AND('Mapa final'!#REF!="Alta",'Mapa final'!#REF!="Leve"),CONCATENATE("R6C",'Mapa final'!#REF!),"")</f>
        <v>#REF!</v>
      </c>
      <c r="L21" s="68" t="e">
        <f>IF(AND('Mapa final'!#REF!="Alta",'Mapa final'!#REF!="Leve"),CONCATENATE("R6C",'Mapa final'!#REF!),"")</f>
        <v>#REF!</v>
      </c>
      <c r="M21" s="68" t="e">
        <f>IF(AND('Mapa final'!#REF!="Alta",'Mapa final'!#REF!="Leve"),CONCATENATE("R6C",'Mapa final'!#REF!),"")</f>
        <v>#REF!</v>
      </c>
      <c r="N21" s="68" t="e">
        <f>IF(AND('Mapa final'!#REF!="Alta",'Mapa final'!#REF!="Leve"),CONCATENATE("R6C",'Mapa final'!#REF!),"")</f>
        <v>#REF!</v>
      </c>
      <c r="O21" s="69" t="e">
        <f>IF(AND('Mapa final'!#REF!="Alta",'Mapa final'!#REF!="Leve"),CONCATENATE("R6C",'Mapa final'!#REF!),"")</f>
        <v>#REF!</v>
      </c>
      <c r="P21" s="67" t="e">
        <f>IF(AND('Mapa final'!#REF!="Alta",'Mapa final'!#REF!="Menor"),CONCATENATE("R6C",'Mapa final'!#REF!),"")</f>
        <v>#REF!</v>
      </c>
      <c r="Q21" s="68" t="e">
        <f>IF(AND('Mapa final'!#REF!="Alta",'Mapa final'!#REF!="Menor"),CONCATENATE("R6C",'Mapa final'!#REF!),"")</f>
        <v>#REF!</v>
      </c>
      <c r="R21" s="68" t="e">
        <f>IF(AND('Mapa final'!#REF!="Alta",'Mapa final'!#REF!="Menor"),CONCATENATE("R6C",'Mapa final'!#REF!),"")</f>
        <v>#REF!</v>
      </c>
      <c r="S21" s="68" t="e">
        <f>IF(AND('Mapa final'!#REF!="Alta",'Mapa final'!#REF!="Menor"),CONCATENATE("R6C",'Mapa final'!#REF!),"")</f>
        <v>#REF!</v>
      </c>
      <c r="T21" s="68" t="e">
        <f>IF(AND('Mapa final'!#REF!="Alta",'Mapa final'!#REF!="Menor"),CONCATENATE("R6C",'Mapa final'!#REF!),"")</f>
        <v>#REF!</v>
      </c>
      <c r="U21" s="69" t="e">
        <f>IF(AND('Mapa final'!#REF!="Alta",'Mapa final'!#REF!="Menor"),CONCATENATE("R6C",'Mapa final'!#REF!),"")</f>
        <v>#REF!</v>
      </c>
      <c r="V21" s="51" t="e">
        <f>IF(AND('Mapa final'!#REF!="Alta",'Mapa final'!#REF!="Moderado"),CONCATENATE("R6C",'Mapa final'!#REF!),"")</f>
        <v>#REF!</v>
      </c>
      <c r="W21" s="52" t="e">
        <f>IF(AND('Mapa final'!#REF!="Alta",'Mapa final'!#REF!="Moderado"),CONCATENATE("R6C",'Mapa final'!#REF!),"")</f>
        <v>#REF!</v>
      </c>
      <c r="X21" s="57" t="e">
        <f>IF(AND('Mapa final'!#REF!="Alta",'Mapa final'!#REF!="Moderado"),CONCATENATE("R6C",'Mapa final'!#REF!),"")</f>
        <v>#REF!</v>
      </c>
      <c r="Y21" s="57" t="e">
        <f>IF(AND('Mapa final'!#REF!="Alta",'Mapa final'!#REF!="Moderado"),CONCATENATE("R6C",'Mapa final'!#REF!),"")</f>
        <v>#REF!</v>
      </c>
      <c r="Z21" s="57" t="e">
        <f>IF(AND('Mapa final'!#REF!="Alta",'Mapa final'!#REF!="Moderado"),CONCATENATE("R6C",'Mapa final'!#REF!),"")</f>
        <v>#REF!</v>
      </c>
      <c r="AA21" s="53" t="e">
        <f>IF(AND('Mapa final'!#REF!="Alta",'Mapa final'!#REF!="Moderado"),CONCATENATE("R6C",'Mapa final'!#REF!),"")</f>
        <v>#REF!</v>
      </c>
      <c r="AB21" s="51" t="e">
        <f>IF(AND('Mapa final'!#REF!="Alta",'Mapa final'!#REF!="Mayor"),CONCATENATE("R6C",'Mapa final'!#REF!),"")</f>
        <v>#REF!</v>
      </c>
      <c r="AC21" s="52" t="e">
        <f>IF(AND('Mapa final'!#REF!="Alta",'Mapa final'!#REF!="Mayor"),CONCATENATE("R6C",'Mapa final'!#REF!),"")</f>
        <v>#REF!</v>
      </c>
      <c r="AD21" s="57" t="e">
        <f>IF(AND('Mapa final'!#REF!="Alta",'Mapa final'!#REF!="Mayor"),CONCATENATE("R6C",'Mapa final'!#REF!),"")</f>
        <v>#REF!</v>
      </c>
      <c r="AE21" s="57" t="e">
        <f>IF(AND('Mapa final'!#REF!="Alta",'Mapa final'!#REF!="Mayor"),CONCATENATE("R6C",'Mapa final'!#REF!),"")</f>
        <v>#REF!</v>
      </c>
      <c r="AF21" s="57" t="e">
        <f>IF(AND('Mapa final'!#REF!="Alta",'Mapa final'!#REF!="Mayor"),CONCATENATE("R6C",'Mapa final'!#REF!),"")</f>
        <v>#REF!</v>
      </c>
      <c r="AG21" s="53" t="e">
        <f>IF(AND('Mapa final'!#REF!="Alta",'Mapa final'!#REF!="Mayor"),CONCATENATE("R6C",'Mapa final'!#REF!),"")</f>
        <v>#REF!</v>
      </c>
      <c r="AH21" s="54" t="e">
        <f>IF(AND('Mapa final'!#REF!="Alta",'Mapa final'!#REF!="Catastrófico"),CONCATENATE("R6C",'Mapa final'!#REF!),"")</f>
        <v>#REF!</v>
      </c>
      <c r="AI21" s="55" t="e">
        <f>IF(AND('Mapa final'!#REF!="Alta",'Mapa final'!#REF!="Catastrófico"),CONCATENATE("R6C",'Mapa final'!#REF!),"")</f>
        <v>#REF!</v>
      </c>
      <c r="AJ21" s="55" t="e">
        <f>IF(AND('Mapa final'!#REF!="Alta",'Mapa final'!#REF!="Catastrófico"),CONCATENATE("R6C",'Mapa final'!#REF!),"")</f>
        <v>#REF!</v>
      </c>
      <c r="AK21" s="55" t="e">
        <f>IF(AND('Mapa final'!#REF!="Alta",'Mapa final'!#REF!="Catastrófico"),CONCATENATE("R6C",'Mapa final'!#REF!),"")</f>
        <v>#REF!</v>
      </c>
      <c r="AL21" s="55" t="e">
        <f>IF(AND('Mapa final'!#REF!="Alta",'Mapa final'!#REF!="Catastrófico"),CONCATENATE("R6C",'Mapa final'!#REF!),"")</f>
        <v>#REF!</v>
      </c>
      <c r="AM21" s="56" t="e">
        <f>IF(AND('Mapa final'!#REF!="Alta",'Mapa final'!#REF!="Catastrófico"),CONCATENATE("R6C",'Mapa final'!#REF!),"")</f>
        <v>#REF!</v>
      </c>
      <c r="AN21" s="83"/>
      <c r="AO21" s="375"/>
      <c r="AP21" s="376"/>
      <c r="AQ21" s="376"/>
      <c r="AR21" s="376"/>
      <c r="AS21" s="376"/>
      <c r="AT21" s="37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4"/>
      <c r="C22" s="284"/>
      <c r="D22" s="285"/>
      <c r="E22" s="385"/>
      <c r="F22" s="386"/>
      <c r="G22" s="386"/>
      <c r="H22" s="386"/>
      <c r="I22" s="384"/>
      <c r="J22" s="67" t="e">
        <f>IF(AND('Mapa final'!#REF!="Alta",'Mapa final'!#REF!="Leve"),CONCATENATE("R7C",'Mapa final'!#REF!),"")</f>
        <v>#REF!</v>
      </c>
      <c r="K22" s="68" t="e">
        <f>IF(AND('Mapa final'!#REF!="Alta",'Mapa final'!#REF!="Leve"),CONCATENATE("R7C",'Mapa final'!#REF!),"")</f>
        <v>#REF!</v>
      </c>
      <c r="L22" s="68" t="e">
        <f>IF(AND('Mapa final'!#REF!="Alta",'Mapa final'!#REF!="Leve"),CONCATENATE("R7C",'Mapa final'!#REF!),"")</f>
        <v>#REF!</v>
      </c>
      <c r="M22" s="68" t="e">
        <f>IF(AND('Mapa final'!#REF!="Alta",'Mapa final'!#REF!="Leve"),CONCATENATE("R7C",'Mapa final'!#REF!),"")</f>
        <v>#REF!</v>
      </c>
      <c r="N22" s="68" t="e">
        <f>IF(AND('Mapa final'!#REF!="Alta",'Mapa final'!#REF!="Leve"),CONCATENATE("R7C",'Mapa final'!#REF!),"")</f>
        <v>#REF!</v>
      </c>
      <c r="O22" s="69" t="e">
        <f>IF(AND('Mapa final'!#REF!="Alta",'Mapa final'!#REF!="Leve"),CONCATENATE("R7C",'Mapa final'!#REF!),"")</f>
        <v>#REF!</v>
      </c>
      <c r="P22" s="67" t="e">
        <f>IF(AND('Mapa final'!#REF!="Alta",'Mapa final'!#REF!="Menor"),CONCATENATE("R7C",'Mapa final'!#REF!),"")</f>
        <v>#REF!</v>
      </c>
      <c r="Q22" s="68" t="e">
        <f>IF(AND('Mapa final'!#REF!="Alta",'Mapa final'!#REF!="Menor"),CONCATENATE("R7C",'Mapa final'!#REF!),"")</f>
        <v>#REF!</v>
      </c>
      <c r="R22" s="68" t="e">
        <f>IF(AND('Mapa final'!#REF!="Alta",'Mapa final'!#REF!="Menor"),CONCATENATE("R7C",'Mapa final'!#REF!),"")</f>
        <v>#REF!</v>
      </c>
      <c r="S22" s="68" t="e">
        <f>IF(AND('Mapa final'!#REF!="Alta",'Mapa final'!#REF!="Menor"),CONCATENATE("R7C",'Mapa final'!#REF!),"")</f>
        <v>#REF!</v>
      </c>
      <c r="T22" s="68" t="e">
        <f>IF(AND('Mapa final'!#REF!="Alta",'Mapa final'!#REF!="Menor"),CONCATENATE("R7C",'Mapa final'!#REF!),"")</f>
        <v>#REF!</v>
      </c>
      <c r="U22" s="69" t="e">
        <f>IF(AND('Mapa final'!#REF!="Alta",'Mapa final'!#REF!="Menor"),CONCATENATE("R7C",'Mapa final'!#REF!),"")</f>
        <v>#REF!</v>
      </c>
      <c r="V22" s="51" t="e">
        <f>IF(AND('Mapa final'!#REF!="Alta",'Mapa final'!#REF!="Moderado"),CONCATENATE("R7C",'Mapa final'!#REF!),"")</f>
        <v>#REF!</v>
      </c>
      <c r="W22" s="52" t="e">
        <f>IF(AND('Mapa final'!#REF!="Alta",'Mapa final'!#REF!="Moderado"),CONCATENATE("R7C",'Mapa final'!#REF!),"")</f>
        <v>#REF!</v>
      </c>
      <c r="X22" s="57" t="e">
        <f>IF(AND('Mapa final'!#REF!="Alta",'Mapa final'!#REF!="Moderado"),CONCATENATE("R7C",'Mapa final'!#REF!),"")</f>
        <v>#REF!</v>
      </c>
      <c r="Y22" s="57" t="e">
        <f>IF(AND('Mapa final'!#REF!="Alta",'Mapa final'!#REF!="Moderado"),CONCATENATE("R7C",'Mapa final'!#REF!),"")</f>
        <v>#REF!</v>
      </c>
      <c r="Z22" s="57" t="e">
        <f>IF(AND('Mapa final'!#REF!="Alta",'Mapa final'!#REF!="Moderado"),CONCATENATE("R7C",'Mapa final'!#REF!),"")</f>
        <v>#REF!</v>
      </c>
      <c r="AA22" s="53" t="e">
        <f>IF(AND('Mapa final'!#REF!="Alta",'Mapa final'!#REF!="Moderado"),CONCATENATE("R7C",'Mapa final'!#REF!),"")</f>
        <v>#REF!</v>
      </c>
      <c r="AB22" s="51" t="e">
        <f>IF(AND('Mapa final'!#REF!="Alta",'Mapa final'!#REF!="Mayor"),CONCATENATE("R7C",'Mapa final'!#REF!),"")</f>
        <v>#REF!</v>
      </c>
      <c r="AC22" s="52" t="e">
        <f>IF(AND('Mapa final'!#REF!="Alta",'Mapa final'!#REF!="Mayor"),CONCATENATE("R7C",'Mapa final'!#REF!),"")</f>
        <v>#REF!</v>
      </c>
      <c r="AD22" s="57" t="e">
        <f>IF(AND('Mapa final'!#REF!="Alta",'Mapa final'!#REF!="Mayor"),CONCATENATE("R7C",'Mapa final'!#REF!),"")</f>
        <v>#REF!</v>
      </c>
      <c r="AE22" s="57" t="e">
        <f>IF(AND('Mapa final'!#REF!="Alta",'Mapa final'!#REF!="Mayor"),CONCATENATE("R7C",'Mapa final'!#REF!),"")</f>
        <v>#REF!</v>
      </c>
      <c r="AF22" s="57" t="e">
        <f>IF(AND('Mapa final'!#REF!="Alta",'Mapa final'!#REF!="Mayor"),CONCATENATE("R7C",'Mapa final'!#REF!),"")</f>
        <v>#REF!</v>
      </c>
      <c r="AG22" s="53" t="e">
        <f>IF(AND('Mapa final'!#REF!="Alta",'Mapa final'!#REF!="Mayor"),CONCATENATE("R7C",'Mapa final'!#REF!),"")</f>
        <v>#REF!</v>
      </c>
      <c r="AH22" s="54" t="e">
        <f>IF(AND('Mapa final'!#REF!="Alta",'Mapa final'!#REF!="Catastrófico"),CONCATENATE("R7C",'Mapa final'!#REF!),"")</f>
        <v>#REF!</v>
      </c>
      <c r="AI22" s="55" t="e">
        <f>IF(AND('Mapa final'!#REF!="Alta",'Mapa final'!#REF!="Catastrófico"),CONCATENATE("R7C",'Mapa final'!#REF!),"")</f>
        <v>#REF!</v>
      </c>
      <c r="AJ22" s="55" t="e">
        <f>IF(AND('Mapa final'!#REF!="Alta",'Mapa final'!#REF!="Catastrófico"),CONCATENATE("R7C",'Mapa final'!#REF!),"")</f>
        <v>#REF!</v>
      </c>
      <c r="AK22" s="55" t="e">
        <f>IF(AND('Mapa final'!#REF!="Alta",'Mapa final'!#REF!="Catastrófico"),CONCATENATE("R7C",'Mapa final'!#REF!),"")</f>
        <v>#REF!</v>
      </c>
      <c r="AL22" s="55" t="e">
        <f>IF(AND('Mapa final'!#REF!="Alta",'Mapa final'!#REF!="Catastrófico"),CONCATENATE("R7C",'Mapa final'!#REF!),"")</f>
        <v>#REF!</v>
      </c>
      <c r="AM22" s="56" t="e">
        <f>IF(AND('Mapa final'!#REF!="Alta",'Mapa final'!#REF!="Catastrófico"),CONCATENATE("R7C",'Mapa final'!#REF!),"")</f>
        <v>#REF!</v>
      </c>
      <c r="AN22" s="83"/>
      <c r="AO22" s="375"/>
      <c r="AP22" s="376"/>
      <c r="AQ22" s="376"/>
      <c r="AR22" s="376"/>
      <c r="AS22" s="376"/>
      <c r="AT22" s="37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4"/>
      <c r="C23" s="284"/>
      <c r="D23" s="285"/>
      <c r="E23" s="385"/>
      <c r="F23" s="386"/>
      <c r="G23" s="386"/>
      <c r="H23" s="386"/>
      <c r="I23" s="384"/>
      <c r="J23" s="67" t="str">
        <f ca="1">IF(AND('Mapa final'!$AB$47="Alta",'Mapa final'!$AD$47="Leve"),CONCATENATE("R8C",'Mapa final'!$R$47),"")</f>
        <v/>
      </c>
      <c r="K23" s="68" t="str">
        <f>IF(AND('Mapa final'!$AB$48="Alta",'Mapa final'!$AD$48="Leve"),CONCATENATE("R8C",'Mapa final'!$R$48),"")</f>
        <v/>
      </c>
      <c r="L23" s="68" t="str">
        <f>IF(AND('Mapa final'!$AB$49="Alta",'Mapa final'!$AD$49="Leve"),CONCATENATE("R8C",'Mapa final'!$R$49),"")</f>
        <v/>
      </c>
      <c r="M23" s="68" t="str">
        <f>IF(AND('Mapa final'!$AB$50="Alta",'Mapa final'!$AD$50="Leve"),CONCATENATE("R8C",'Mapa final'!$R$50),"")</f>
        <v/>
      </c>
      <c r="N23" s="68" t="str">
        <f>IF(AND('Mapa final'!$AB$51="Alta",'Mapa final'!$AD$51="Leve"),CONCATENATE("R8C",'Mapa final'!$R$51),"")</f>
        <v/>
      </c>
      <c r="O23" s="69" t="str">
        <f>IF(AND('Mapa final'!$AB$52="Alta",'Mapa final'!$AD$52="Leve"),CONCATENATE("R8C",'Mapa final'!$R$52),"")</f>
        <v/>
      </c>
      <c r="P23" s="67" t="str">
        <f ca="1">IF(AND('Mapa final'!$AB$47="Alta",'Mapa final'!$AD$47="Menor"),CONCATENATE("R8C",'Mapa final'!$R$47),"")</f>
        <v/>
      </c>
      <c r="Q23" s="68" t="str">
        <f>IF(AND('Mapa final'!$AB$48="Alta",'Mapa final'!$AD$48="Menor"),CONCATENATE("R8C",'Mapa final'!$R$48),"")</f>
        <v/>
      </c>
      <c r="R23" s="68" t="str">
        <f>IF(AND('Mapa final'!$AB$49="Alta",'Mapa final'!$AD$49="Menor"),CONCATENATE("R8C",'Mapa final'!$R$49),"")</f>
        <v/>
      </c>
      <c r="S23" s="68" t="str">
        <f>IF(AND('Mapa final'!$AB$50="Alta",'Mapa final'!$AD$50="Menor"),CONCATENATE("R8C",'Mapa final'!$R$50),"")</f>
        <v/>
      </c>
      <c r="T23" s="68" t="str">
        <f>IF(AND('Mapa final'!$AB$51="Alta",'Mapa final'!$AD$51="Menor"),CONCATENATE("R8C",'Mapa final'!$R$51),"")</f>
        <v/>
      </c>
      <c r="U23" s="69" t="str">
        <f>IF(AND('Mapa final'!$AB$52="Alta",'Mapa final'!$AD$52="Menor"),CONCATENATE("R8C",'Mapa final'!$R$52),"")</f>
        <v/>
      </c>
      <c r="V23" s="51" t="str">
        <f ca="1">IF(AND('Mapa final'!$AB$47="Alta",'Mapa final'!$AD$47="Moderado"),CONCATENATE("R8C",'Mapa final'!$R$47),"")</f>
        <v/>
      </c>
      <c r="W23" s="52" t="str">
        <f>IF(AND('Mapa final'!$AB$48="Alta",'Mapa final'!$AD$48="Moderado"),CONCATENATE("R8C",'Mapa final'!$R$48),"")</f>
        <v/>
      </c>
      <c r="X23" s="57" t="str">
        <f>IF(AND('Mapa final'!$AB$49="Alta",'Mapa final'!$AD$49="Moderado"),CONCATENATE("R8C",'Mapa final'!$R$49),"")</f>
        <v/>
      </c>
      <c r="Y23" s="57" t="str">
        <f>IF(AND('Mapa final'!$AB$50="Alta",'Mapa final'!$AD$50="Moderado"),CONCATENATE("R8C",'Mapa final'!$R$50),"")</f>
        <v/>
      </c>
      <c r="Z23" s="57" t="str">
        <f>IF(AND('Mapa final'!$AB$51="Alta",'Mapa final'!$AD$51="Moderado"),CONCATENATE("R8C",'Mapa final'!$R$51),"")</f>
        <v/>
      </c>
      <c r="AA23" s="53" t="str">
        <f>IF(AND('Mapa final'!$AB$52="Alta",'Mapa final'!$AD$52="Moderado"),CONCATENATE("R8C",'Mapa final'!$R$52),"")</f>
        <v/>
      </c>
      <c r="AB23" s="51" t="str">
        <f ca="1">IF(AND('Mapa final'!$AB$47="Alta",'Mapa final'!$AD$47="Mayor"),CONCATENATE("R8C",'Mapa final'!$R$47),"")</f>
        <v/>
      </c>
      <c r="AC23" s="52" t="str">
        <f>IF(AND('Mapa final'!$AB$48="Alta",'Mapa final'!$AD$48="Mayor"),CONCATENATE("R8C",'Mapa final'!$R$48),"")</f>
        <v/>
      </c>
      <c r="AD23" s="57" t="str">
        <f>IF(AND('Mapa final'!$AB$49="Alta",'Mapa final'!$AD$49="Mayor"),CONCATENATE("R8C",'Mapa final'!$R$49),"")</f>
        <v/>
      </c>
      <c r="AE23" s="57" t="str">
        <f>IF(AND('Mapa final'!$AB$50="Alta",'Mapa final'!$AD$50="Mayor"),CONCATENATE("R8C",'Mapa final'!$R$50),"")</f>
        <v/>
      </c>
      <c r="AF23" s="57" t="str">
        <f>IF(AND('Mapa final'!$AB$51="Alta",'Mapa final'!$AD$51="Mayor"),CONCATENATE("R8C",'Mapa final'!$R$51),"")</f>
        <v/>
      </c>
      <c r="AG23" s="53" t="str">
        <f>IF(AND('Mapa final'!$AB$52="Alta",'Mapa final'!$AD$52="Mayor"),CONCATENATE("R8C",'Mapa final'!$R$52),"")</f>
        <v/>
      </c>
      <c r="AH23" s="54" t="str">
        <f ca="1">IF(AND('Mapa final'!$AB$47="Alta",'Mapa final'!$AD$47="Catastrófico"),CONCATENATE("R8C",'Mapa final'!$R$47),"")</f>
        <v/>
      </c>
      <c r="AI23" s="55" t="str">
        <f>IF(AND('Mapa final'!$AB$48="Alta",'Mapa final'!$AD$48="Catastrófico"),CONCATENATE("R8C",'Mapa final'!$R$48),"")</f>
        <v/>
      </c>
      <c r="AJ23" s="55" t="str">
        <f>IF(AND('Mapa final'!$AB$49="Alta",'Mapa final'!$AD$49="Catastrófico"),CONCATENATE("R8C",'Mapa final'!$R$49),"")</f>
        <v/>
      </c>
      <c r="AK23" s="55" t="str">
        <f>IF(AND('Mapa final'!$AB$50="Alta",'Mapa final'!$AD$50="Catastrófico"),CONCATENATE("R8C",'Mapa final'!$R$50),"")</f>
        <v/>
      </c>
      <c r="AL23" s="55" t="str">
        <f>IF(AND('Mapa final'!$AB$51="Alta",'Mapa final'!$AD$51="Catastrófico"),CONCATENATE("R8C",'Mapa final'!$R$51),"")</f>
        <v/>
      </c>
      <c r="AM23" s="56" t="str">
        <f>IF(AND('Mapa final'!$AB$52="Alta",'Mapa final'!$AD$52="Catastrófico"),CONCATENATE("R8C",'Mapa final'!$R$52),"")</f>
        <v/>
      </c>
      <c r="AN23" s="83"/>
      <c r="AO23" s="375"/>
      <c r="AP23" s="376"/>
      <c r="AQ23" s="376"/>
      <c r="AR23" s="376"/>
      <c r="AS23" s="376"/>
      <c r="AT23" s="37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4"/>
      <c r="C24" s="284"/>
      <c r="D24" s="285"/>
      <c r="E24" s="385"/>
      <c r="F24" s="386"/>
      <c r="G24" s="386"/>
      <c r="H24" s="386"/>
      <c r="I24" s="384"/>
      <c r="J24" s="67" t="str">
        <f ca="1">IF(AND('Mapa final'!$AB$59="Alta",'Mapa final'!$AD$59="Leve"),CONCATENATE("R9C",'Mapa final'!$R$59),"")</f>
        <v/>
      </c>
      <c r="K24" s="68" t="str">
        <f ca="1">IF(AND('Mapa final'!$AB$60="Alta",'Mapa final'!$AD$60="Leve"),CONCATENATE("R9C",'Mapa final'!$R$60),"")</f>
        <v/>
      </c>
      <c r="L24" s="68" t="str">
        <f>IF(AND('Mapa final'!$AB$61="Alta",'Mapa final'!$AD$61="Leve"),CONCATENATE("R9C",'Mapa final'!$R$61),"")</f>
        <v/>
      </c>
      <c r="M24" s="68" t="str">
        <f>IF(AND('Mapa final'!$AB$62="Alta",'Mapa final'!$AD$62="Leve"),CONCATENATE("R9C",'Mapa final'!$R$62),"")</f>
        <v/>
      </c>
      <c r="N24" s="68" t="str">
        <f>IF(AND('Mapa final'!$AB$63="Alta",'Mapa final'!$AD$63="Leve"),CONCATENATE("R9C",'Mapa final'!$R$63),"")</f>
        <v/>
      </c>
      <c r="O24" s="69" t="str">
        <f>IF(AND('Mapa final'!$AB$70="Alta",'Mapa final'!$AD$70="Leve"),CONCATENATE("R9C",'Mapa final'!$R$70),"")</f>
        <v/>
      </c>
      <c r="P24" s="67" t="str">
        <f ca="1">IF(AND('Mapa final'!$AB$59="Alta",'Mapa final'!$AD$59="Menor"),CONCATENATE("R9C",'Mapa final'!$R$59),"")</f>
        <v/>
      </c>
      <c r="Q24" s="68" t="str">
        <f ca="1">IF(AND('Mapa final'!$AB$60="Alta",'Mapa final'!$AD$60="Menor"),CONCATENATE("R9C",'Mapa final'!$R$60),"")</f>
        <v/>
      </c>
      <c r="R24" s="68" t="str">
        <f>IF(AND('Mapa final'!$AB$61="Alta",'Mapa final'!$AD$61="Menor"),CONCATENATE("R9C",'Mapa final'!$R$61),"")</f>
        <v/>
      </c>
      <c r="S24" s="68" t="str">
        <f>IF(AND('Mapa final'!$AB$62="Alta",'Mapa final'!$AD$62="Menor"),CONCATENATE("R9C",'Mapa final'!$R$62),"")</f>
        <v/>
      </c>
      <c r="T24" s="68" t="str">
        <f>IF(AND('Mapa final'!$AB$63="Alta",'Mapa final'!$AD$63="Menor"),CONCATENATE("R9C",'Mapa final'!$R$63),"")</f>
        <v/>
      </c>
      <c r="U24" s="69" t="str">
        <f>IF(AND('Mapa final'!$AB$70="Alta",'Mapa final'!$AD$70="Menor"),CONCATENATE("R9C",'Mapa final'!$R$70),"")</f>
        <v/>
      </c>
      <c r="V24" s="51" t="str">
        <f ca="1">IF(AND('Mapa final'!$AB$59="Alta",'Mapa final'!$AD$59="Moderado"),CONCATENATE("R9C",'Mapa final'!$R$59),"")</f>
        <v/>
      </c>
      <c r="W24" s="52" t="str">
        <f ca="1">IF(AND('Mapa final'!$AB$60="Alta",'Mapa final'!$AD$60="Moderado"),CONCATENATE("R9C",'Mapa final'!$R$60),"")</f>
        <v/>
      </c>
      <c r="X24" s="57" t="str">
        <f>IF(AND('Mapa final'!$AB$61="Alta",'Mapa final'!$AD$61="Moderado"),CONCATENATE("R9C",'Mapa final'!$R$61),"")</f>
        <v/>
      </c>
      <c r="Y24" s="57" t="str">
        <f>IF(AND('Mapa final'!$AB$62="Alta",'Mapa final'!$AD$62="Moderado"),CONCATENATE("R9C",'Mapa final'!$R$62),"")</f>
        <v/>
      </c>
      <c r="Z24" s="57" t="str">
        <f>IF(AND('Mapa final'!$AB$63="Alta",'Mapa final'!$AD$63="Moderado"),CONCATENATE("R9C",'Mapa final'!$R$63),"")</f>
        <v/>
      </c>
      <c r="AA24" s="53" t="str">
        <f>IF(AND('Mapa final'!$AB$70="Alta",'Mapa final'!$AD$70="Moderado"),CONCATENATE("R9C",'Mapa final'!$R$70),"")</f>
        <v/>
      </c>
      <c r="AB24" s="51" t="str">
        <f ca="1">IF(AND('Mapa final'!$AB$59="Alta",'Mapa final'!$AD$59="Mayor"),CONCATENATE("R9C",'Mapa final'!$R$59),"")</f>
        <v/>
      </c>
      <c r="AC24" s="52" t="str">
        <f ca="1">IF(AND('Mapa final'!$AB$60="Alta",'Mapa final'!$AD$60="Mayor"),CONCATENATE("R9C",'Mapa final'!$R$60),"")</f>
        <v/>
      </c>
      <c r="AD24" s="57" t="str">
        <f>IF(AND('Mapa final'!$AB$61="Alta",'Mapa final'!$AD$61="Mayor"),CONCATENATE("R9C",'Mapa final'!$R$61),"")</f>
        <v/>
      </c>
      <c r="AE24" s="57" t="str">
        <f>IF(AND('Mapa final'!$AB$62="Alta",'Mapa final'!$AD$62="Mayor"),CONCATENATE("R9C",'Mapa final'!$R$62),"")</f>
        <v/>
      </c>
      <c r="AF24" s="57" t="str">
        <f>IF(AND('Mapa final'!$AB$63="Alta",'Mapa final'!$AD$63="Mayor"),CONCATENATE("R9C",'Mapa final'!$R$63),"")</f>
        <v/>
      </c>
      <c r="AG24" s="53" t="str">
        <f>IF(AND('Mapa final'!$AB$70="Alta",'Mapa final'!$AD$70="Mayor"),CONCATENATE("R9C",'Mapa final'!$R$70),"")</f>
        <v/>
      </c>
      <c r="AH24" s="54" t="str">
        <f ca="1">IF(AND('Mapa final'!$AB$59="Alta",'Mapa final'!$AD$59="Catastrófico"),CONCATENATE("R9C",'Mapa final'!$R$59),"")</f>
        <v/>
      </c>
      <c r="AI24" s="55" t="str">
        <f ca="1">IF(AND('Mapa final'!$AB$60="Alta",'Mapa final'!$AD$60="Catastrófico"),CONCATENATE("R9C",'Mapa final'!$R$60),"")</f>
        <v/>
      </c>
      <c r="AJ24" s="55" t="str">
        <f>IF(AND('Mapa final'!$AB$61="Alta",'Mapa final'!$AD$61="Catastrófico"),CONCATENATE("R9C",'Mapa final'!$R$61),"")</f>
        <v/>
      </c>
      <c r="AK24" s="55" t="str">
        <f>IF(AND('Mapa final'!$AB$62="Alta",'Mapa final'!$AD$62="Catastrófico"),CONCATENATE("R9C",'Mapa final'!$R$62),"")</f>
        <v/>
      </c>
      <c r="AL24" s="55" t="str">
        <f>IF(AND('Mapa final'!$AB$63="Alta",'Mapa final'!$AD$63="Catastrófico"),CONCATENATE("R9C",'Mapa final'!$R$63),"")</f>
        <v/>
      </c>
      <c r="AM24" s="56" t="str">
        <f>IF(AND('Mapa final'!$AB$70="Alta",'Mapa final'!$AD$70="Catastrófico"),CONCATENATE("R9C",'Mapa final'!$R$70),"")</f>
        <v/>
      </c>
      <c r="AN24" s="83"/>
      <c r="AO24" s="375"/>
      <c r="AP24" s="376"/>
      <c r="AQ24" s="376"/>
      <c r="AR24" s="376"/>
      <c r="AS24" s="376"/>
      <c r="AT24" s="37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4"/>
      <c r="C25" s="284"/>
      <c r="D25" s="285"/>
      <c r="E25" s="387"/>
      <c r="F25" s="388"/>
      <c r="G25" s="388"/>
      <c r="H25" s="388"/>
      <c r="I25" s="388"/>
      <c r="J25" s="70" t="str">
        <f ca="1">IF(AND('Mapa final'!$AB$71="Alta",'Mapa final'!$AD$71="Leve"),CONCATENATE("R10C",'Mapa final'!$R$71),"")</f>
        <v/>
      </c>
      <c r="K25" s="71" t="str">
        <f ca="1">IF(AND('Mapa final'!$AB$72="Alta",'Mapa final'!$AD$72="Leve"),CONCATENATE("R10C",'Mapa final'!$R$72),"")</f>
        <v/>
      </c>
      <c r="L25" s="71" t="str">
        <f ca="1">IF(AND('Mapa final'!$AB$73="Alta",'Mapa final'!$AD$73="Leve"),CONCATENATE("R10C",'Mapa final'!$R$73),"")</f>
        <v/>
      </c>
      <c r="M25" s="71" t="str">
        <f>IF(AND('Mapa final'!$AB$74="Alta",'Mapa final'!$AD$74="Leve"),CONCATENATE("R10C",'Mapa final'!$R$74),"")</f>
        <v/>
      </c>
      <c r="N25" s="71" t="str">
        <f>IF(AND('Mapa final'!$AB$75="Alta",'Mapa final'!$AD$75="Leve"),CONCATENATE("R10C",'Mapa final'!$R$75),"")</f>
        <v/>
      </c>
      <c r="O25" s="72" t="str">
        <f>IF(AND('Mapa final'!$AB$76="Alta",'Mapa final'!$AD$76="Leve"),CONCATENATE("R10C",'Mapa final'!$R$76),"")</f>
        <v/>
      </c>
      <c r="P25" s="70" t="str">
        <f ca="1">IF(AND('Mapa final'!$AB$71="Alta",'Mapa final'!$AD$71="Menor"),CONCATENATE("R10C",'Mapa final'!$R$71),"")</f>
        <v/>
      </c>
      <c r="Q25" s="71" t="str">
        <f ca="1">IF(AND('Mapa final'!$AB$72="Alta",'Mapa final'!$AD$72="Menor"),CONCATENATE("R10C",'Mapa final'!$R$72),"")</f>
        <v/>
      </c>
      <c r="R25" s="71" t="str">
        <f ca="1">IF(AND('Mapa final'!$AB$73="Alta",'Mapa final'!$AD$73="Menor"),CONCATENATE("R10C",'Mapa final'!$R$73),"")</f>
        <v/>
      </c>
      <c r="S25" s="71" t="str">
        <f>IF(AND('Mapa final'!$AB$74="Alta",'Mapa final'!$AD$74="Menor"),CONCATENATE("R10C",'Mapa final'!$R$74),"")</f>
        <v/>
      </c>
      <c r="T25" s="71" t="str">
        <f>IF(AND('Mapa final'!$AB$75="Alta",'Mapa final'!$AD$75="Menor"),CONCATENATE("R10C",'Mapa final'!$R$75),"")</f>
        <v/>
      </c>
      <c r="U25" s="72" t="str">
        <f>IF(AND('Mapa final'!$AB$76="Alta",'Mapa final'!$AD$76="Menor"),CONCATENATE("R10C",'Mapa final'!$R$76),"")</f>
        <v/>
      </c>
      <c r="V25" s="58" t="str">
        <f ca="1">IF(AND('Mapa final'!$AB$71="Alta",'Mapa final'!$AD$71="Moderado"),CONCATENATE("R10C",'Mapa final'!$R$71),"")</f>
        <v/>
      </c>
      <c r="W25" s="59" t="str">
        <f ca="1">IF(AND('Mapa final'!$AB$72="Alta",'Mapa final'!$AD$72="Moderado"),CONCATENATE("R10C",'Mapa final'!$R$72),"")</f>
        <v/>
      </c>
      <c r="X25" s="59" t="str">
        <f ca="1">IF(AND('Mapa final'!$AB$73="Alta",'Mapa final'!$AD$73="Moderado"),CONCATENATE("R10C",'Mapa final'!$R$73),"")</f>
        <v/>
      </c>
      <c r="Y25" s="59" t="str">
        <f>IF(AND('Mapa final'!$AB$74="Alta",'Mapa final'!$AD$74="Moderado"),CONCATENATE("R10C",'Mapa final'!$R$74),"")</f>
        <v/>
      </c>
      <c r="Z25" s="59" t="str">
        <f>IF(AND('Mapa final'!$AB$75="Alta",'Mapa final'!$AD$75="Moderado"),CONCATENATE("R10C",'Mapa final'!$R$75),"")</f>
        <v/>
      </c>
      <c r="AA25" s="60" t="str">
        <f>IF(AND('Mapa final'!$AB$76="Alta",'Mapa final'!$AD$76="Moderado"),CONCATENATE("R10C",'Mapa final'!$R$76),"")</f>
        <v/>
      </c>
      <c r="AB25" s="58" t="str">
        <f ca="1">IF(AND('Mapa final'!$AB$71="Alta",'Mapa final'!$AD$71="Mayor"),CONCATENATE("R10C",'Mapa final'!$R$71),"")</f>
        <v/>
      </c>
      <c r="AC25" s="59" t="str">
        <f ca="1">IF(AND('Mapa final'!$AB$72="Alta",'Mapa final'!$AD$72="Mayor"),CONCATENATE("R10C",'Mapa final'!$R$72),"")</f>
        <v/>
      </c>
      <c r="AD25" s="59" t="str">
        <f ca="1">IF(AND('Mapa final'!$AB$73="Alta",'Mapa final'!$AD$73="Mayor"),CONCATENATE("R10C",'Mapa final'!$R$73),"")</f>
        <v/>
      </c>
      <c r="AE25" s="59" t="str">
        <f>IF(AND('Mapa final'!$AB$74="Alta",'Mapa final'!$AD$74="Mayor"),CONCATENATE("R10C",'Mapa final'!$R$74),"")</f>
        <v/>
      </c>
      <c r="AF25" s="59" t="str">
        <f>IF(AND('Mapa final'!$AB$75="Alta",'Mapa final'!$AD$75="Mayor"),CONCATENATE("R10C",'Mapa final'!$R$75),"")</f>
        <v/>
      </c>
      <c r="AG25" s="60" t="str">
        <f>IF(AND('Mapa final'!$AB$76="Alta",'Mapa final'!$AD$76="Mayor"),CONCATENATE("R10C",'Mapa final'!$R$76),"")</f>
        <v/>
      </c>
      <c r="AH25" s="61" t="str">
        <f ca="1">IF(AND('Mapa final'!$AB$71="Alta",'Mapa final'!$AD$71="Catastrófico"),CONCATENATE("R10C",'Mapa final'!$R$71),"")</f>
        <v/>
      </c>
      <c r="AI25" s="62" t="str">
        <f ca="1">IF(AND('Mapa final'!$AB$72="Alta",'Mapa final'!$AD$72="Catastrófico"),CONCATENATE("R10C",'Mapa final'!$R$72),"")</f>
        <v/>
      </c>
      <c r="AJ25" s="62" t="str">
        <f ca="1">IF(AND('Mapa final'!$AB$73="Alta",'Mapa final'!$AD$73="Catastrófico"),CONCATENATE("R10C",'Mapa final'!$R$73),"")</f>
        <v/>
      </c>
      <c r="AK25" s="62" t="str">
        <f>IF(AND('Mapa final'!$AB$74="Alta",'Mapa final'!$AD$74="Catastrófico"),CONCATENATE("R10C",'Mapa final'!$R$74),"")</f>
        <v/>
      </c>
      <c r="AL25" s="62" t="str">
        <f>IF(AND('Mapa final'!$AB$75="Alta",'Mapa final'!$AD$75="Catastrófico"),CONCATENATE("R10C",'Mapa final'!$R$75),"")</f>
        <v/>
      </c>
      <c r="AM25" s="63" t="str">
        <f>IF(AND('Mapa final'!$AB$76="Alta",'Mapa final'!$AD$76="Catastrófico"),CONCATENATE("R10C",'Mapa final'!$R$76),"")</f>
        <v/>
      </c>
      <c r="AN25" s="83"/>
      <c r="AO25" s="378"/>
      <c r="AP25" s="379"/>
      <c r="AQ25" s="379"/>
      <c r="AR25" s="379"/>
      <c r="AS25" s="379"/>
      <c r="AT25" s="38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4"/>
      <c r="C26" s="284"/>
      <c r="D26" s="285"/>
      <c r="E26" s="381" t="s">
        <v>109</v>
      </c>
      <c r="F26" s="382"/>
      <c r="G26" s="382"/>
      <c r="H26" s="382"/>
      <c r="I26" s="400"/>
      <c r="J26" s="64" t="str">
        <f ca="1">IF(AND('Mapa final'!$AB$11="Media",'Mapa final'!$AD$11="Leve"),CONCATENATE("R1C",'Mapa final'!$R$11),"")</f>
        <v/>
      </c>
      <c r="K26" s="65" t="str">
        <f ca="1">IF(AND('Mapa final'!$AB$12="Media",'Mapa final'!$AD$12="Leve"),CONCATENATE("R1C",'Mapa final'!$R$12),"")</f>
        <v/>
      </c>
      <c r="L26" s="65" t="str">
        <f>IF(AND('Mapa final'!$AB$13="Media",'Mapa final'!$AD$13="Leve"),CONCATENATE("R1C",'Mapa final'!$R$13),"")</f>
        <v/>
      </c>
      <c r="M26" s="65" t="str">
        <f>IF(AND('Mapa final'!$AB$14="Media",'Mapa final'!$AD$14="Leve"),CONCATENATE("R1C",'Mapa final'!$R$14),"")</f>
        <v/>
      </c>
      <c r="N26" s="65" t="str">
        <f>IF(AND('Mapa final'!$AB$15="Media",'Mapa final'!$AD$15="Leve"),CONCATENATE("R1C",'Mapa final'!$R$15),"")</f>
        <v/>
      </c>
      <c r="O26" s="66" t="str">
        <f>IF(AND('Mapa final'!$AB$16="Media",'Mapa final'!$AD$16="Leve"),CONCATENATE("R1C",'Mapa final'!$R$16),"")</f>
        <v/>
      </c>
      <c r="P26" s="64" t="str">
        <f ca="1">IF(AND('Mapa final'!$AB$11="Media",'Mapa final'!$AD$11="Menor"),CONCATENATE("R1C",'Mapa final'!$R$11),"")</f>
        <v/>
      </c>
      <c r="Q26" s="65" t="str">
        <f ca="1">IF(AND('Mapa final'!$AB$12="Media",'Mapa final'!$AD$12="Menor"),CONCATENATE("R1C",'Mapa final'!$R$12),"")</f>
        <v/>
      </c>
      <c r="R26" s="65" t="str">
        <f>IF(AND('Mapa final'!$AB$13="Media",'Mapa final'!$AD$13="Menor"),CONCATENATE("R1C",'Mapa final'!$R$13),"")</f>
        <v/>
      </c>
      <c r="S26" s="65" t="str">
        <f>IF(AND('Mapa final'!$AB$14="Media",'Mapa final'!$AD$14="Menor"),CONCATENATE("R1C",'Mapa final'!$R$14),"")</f>
        <v/>
      </c>
      <c r="T26" s="65" t="str">
        <f>IF(AND('Mapa final'!$AB$15="Media",'Mapa final'!$AD$15="Menor"),CONCATENATE("R1C",'Mapa final'!$R$15),"")</f>
        <v/>
      </c>
      <c r="U26" s="66" t="str">
        <f>IF(AND('Mapa final'!$AB$16="Media",'Mapa final'!$AD$16="Menor"),CONCATENATE("R1C",'Mapa final'!$R$16),"")</f>
        <v/>
      </c>
      <c r="V26" s="64" t="str">
        <f ca="1">IF(AND('Mapa final'!$AB$11="Media",'Mapa final'!$AD$11="Moderado"),CONCATENATE("R1C",'Mapa final'!$R$11),"")</f>
        <v/>
      </c>
      <c r="W26" s="65" t="str">
        <f ca="1">IF(AND('Mapa final'!$AB$12="Media",'Mapa final'!$AD$12="Moderado"),CONCATENATE("R1C",'Mapa final'!$R$12),"")</f>
        <v/>
      </c>
      <c r="X26" s="65" t="str">
        <f>IF(AND('Mapa final'!$AB$13="Media",'Mapa final'!$AD$13="Moderado"),CONCATENATE("R1C",'Mapa final'!$R$13),"")</f>
        <v/>
      </c>
      <c r="Y26" s="65" t="str">
        <f>IF(AND('Mapa final'!$AB$14="Media",'Mapa final'!$AD$14="Moderado"),CONCATENATE("R1C",'Mapa final'!$R$14),"")</f>
        <v/>
      </c>
      <c r="Z26" s="65" t="str">
        <f>IF(AND('Mapa final'!$AB$15="Media",'Mapa final'!$AD$15="Moderado"),CONCATENATE("R1C",'Mapa final'!$R$15),"")</f>
        <v/>
      </c>
      <c r="AA26" s="66" t="str">
        <f>IF(AND('Mapa final'!$AB$16="Media",'Mapa final'!$AD$16="Moderado"),CONCATENATE("R1C",'Mapa final'!$R$16),"")</f>
        <v/>
      </c>
      <c r="AB26" s="45" t="str">
        <f ca="1">IF(AND('Mapa final'!$AB$11="Media",'Mapa final'!$AD$11="Mayor"),CONCATENATE("R1C",'Mapa final'!$R$11),"")</f>
        <v/>
      </c>
      <c r="AC26" s="46" t="str">
        <f ca="1">IF(AND('Mapa final'!$AB$12="Media",'Mapa final'!$AD$12="Mayor"),CONCATENATE("R1C",'Mapa final'!$R$12),"")</f>
        <v/>
      </c>
      <c r="AD26" s="46" t="str">
        <f>IF(AND('Mapa final'!$AB$13="Media",'Mapa final'!$AD$13="Mayor"),CONCATENATE("R1C",'Mapa final'!$R$13),"")</f>
        <v/>
      </c>
      <c r="AE26" s="46" t="str">
        <f>IF(AND('Mapa final'!$AB$14="Media",'Mapa final'!$AD$14="Mayor"),CONCATENATE("R1C",'Mapa final'!$R$14),"")</f>
        <v/>
      </c>
      <c r="AF26" s="46" t="str">
        <f>IF(AND('Mapa final'!$AB$15="Media",'Mapa final'!$AD$15="Mayor"),CONCATENATE("R1C",'Mapa final'!$R$15),"")</f>
        <v/>
      </c>
      <c r="AG26" s="47" t="str">
        <f>IF(AND('Mapa final'!$AB$16="Media",'Mapa final'!$AD$16="Mayor"),CONCATENATE("R1C",'Mapa final'!$R$16),"")</f>
        <v/>
      </c>
      <c r="AH26" s="48" t="str">
        <f ca="1">IF(AND('Mapa final'!$AB$11="Media",'Mapa final'!$AD$11="Catastrófico"),CONCATENATE("R1C",'Mapa final'!$R$11),"")</f>
        <v/>
      </c>
      <c r="AI26" s="49" t="str">
        <f ca="1">IF(AND('Mapa final'!$AB$12="Media",'Mapa final'!$AD$12="Catastrófico"),CONCATENATE("R1C",'Mapa final'!$R$12),"")</f>
        <v/>
      </c>
      <c r="AJ26" s="49" t="str">
        <f>IF(AND('Mapa final'!$AB$13="Media",'Mapa final'!$AD$13="Catastrófico"),CONCATENATE("R1C",'Mapa final'!$R$13),"")</f>
        <v/>
      </c>
      <c r="AK26" s="49" t="str">
        <f>IF(AND('Mapa final'!$AB$14="Media",'Mapa final'!$AD$14="Catastrófico"),CONCATENATE("R1C",'Mapa final'!$R$14),"")</f>
        <v/>
      </c>
      <c r="AL26" s="49" t="str">
        <f>IF(AND('Mapa final'!$AB$15="Media",'Mapa final'!$AD$15="Catastrófico"),CONCATENATE("R1C",'Mapa final'!$R$15),"")</f>
        <v/>
      </c>
      <c r="AM26" s="50" t="str">
        <f>IF(AND('Mapa final'!$AB$16="Media",'Mapa final'!$AD$16="Catastrófico"),CONCATENATE("R1C",'Mapa final'!$R$16),"")</f>
        <v/>
      </c>
      <c r="AN26" s="83"/>
      <c r="AO26" s="412" t="s">
        <v>78</v>
      </c>
      <c r="AP26" s="413"/>
      <c r="AQ26" s="413"/>
      <c r="AR26" s="413"/>
      <c r="AS26" s="413"/>
      <c r="AT26" s="41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4"/>
      <c r="C27" s="284"/>
      <c r="D27" s="285"/>
      <c r="E27" s="383"/>
      <c r="F27" s="384"/>
      <c r="G27" s="384"/>
      <c r="H27" s="384"/>
      <c r="I27" s="401"/>
      <c r="J27" s="67" t="str">
        <f ca="1">IF(AND('Mapa final'!$AB$17="Media",'Mapa final'!$AD$17="Leve"),CONCATENATE("R2C",'Mapa final'!$R$17),"")</f>
        <v/>
      </c>
      <c r="K27" s="68" t="str">
        <f ca="1">IF(AND('Mapa final'!$AB$18="Media",'Mapa final'!$AD$18="Leve"),CONCATENATE("R2C",'Mapa final'!$R$18),"")</f>
        <v/>
      </c>
      <c r="L27" s="68" t="str">
        <f ca="1">IF(AND('Mapa final'!$AB$19="Media",'Mapa final'!$AD$19="Leve"),CONCATENATE("R2C",'Mapa final'!$R$19),"")</f>
        <v/>
      </c>
      <c r="M27" s="68" t="str">
        <f>IF(AND('Mapa final'!$AB$20="Media",'Mapa final'!$AD$20="Leve"),CONCATENATE("R2C",'Mapa final'!$R$20),"")</f>
        <v/>
      </c>
      <c r="N27" s="68" t="str">
        <f>IF(AND('Mapa final'!$AB$21="Media",'Mapa final'!$AD$21="Leve"),CONCATENATE("R2C",'Mapa final'!$R$21),"")</f>
        <v/>
      </c>
      <c r="O27" s="69" t="str">
        <f>IF(AND('Mapa final'!$AB$22="Media",'Mapa final'!$AD$22="Leve"),CONCATENATE("R2C",'Mapa final'!$R$22),"")</f>
        <v/>
      </c>
      <c r="P27" s="67" t="str">
        <f ca="1">IF(AND('Mapa final'!$AB$17="Media",'Mapa final'!$AD$17="Menor"),CONCATENATE("R2C",'Mapa final'!$R$17),"")</f>
        <v/>
      </c>
      <c r="Q27" s="68" t="str">
        <f ca="1">IF(AND('Mapa final'!$AB$18="Media",'Mapa final'!$AD$18="Menor"),CONCATENATE("R2C",'Mapa final'!$R$18),"")</f>
        <v/>
      </c>
      <c r="R27" s="68" t="str">
        <f ca="1">IF(AND('Mapa final'!$AB$19="Media",'Mapa final'!$AD$19="Menor"),CONCATENATE("R2C",'Mapa final'!$R$19),"")</f>
        <v/>
      </c>
      <c r="S27" s="68" t="str">
        <f>IF(AND('Mapa final'!$AB$20="Media",'Mapa final'!$AD$20="Menor"),CONCATENATE("R2C",'Mapa final'!$R$20),"")</f>
        <v/>
      </c>
      <c r="T27" s="68" t="str">
        <f>IF(AND('Mapa final'!$AB$21="Media",'Mapa final'!$AD$21="Menor"),CONCATENATE("R2C",'Mapa final'!$R$21),"")</f>
        <v/>
      </c>
      <c r="U27" s="69" t="str">
        <f>IF(AND('Mapa final'!$AB$22="Media",'Mapa final'!$AD$22="Menor"),CONCATENATE("R2C",'Mapa final'!$R$22),"")</f>
        <v/>
      </c>
      <c r="V27" s="67" t="str">
        <f ca="1">IF(AND('Mapa final'!$AB$17="Media",'Mapa final'!$AD$17="Moderado"),CONCATENATE("R2C",'Mapa final'!$R$17),"")</f>
        <v/>
      </c>
      <c r="W27" s="68" t="str">
        <f ca="1">IF(AND('Mapa final'!$AB$18="Media",'Mapa final'!$AD$18="Moderado"),CONCATENATE("R2C",'Mapa final'!$R$18),"")</f>
        <v/>
      </c>
      <c r="X27" s="68" t="str">
        <f ca="1">IF(AND('Mapa final'!$AB$19="Media",'Mapa final'!$AD$19="Moderado"),CONCATENATE("R2C",'Mapa final'!$R$19),"")</f>
        <v/>
      </c>
      <c r="Y27" s="68" t="str">
        <f>IF(AND('Mapa final'!$AB$20="Media",'Mapa final'!$AD$20="Moderado"),CONCATENATE("R2C",'Mapa final'!$R$20),"")</f>
        <v/>
      </c>
      <c r="Z27" s="68" t="str">
        <f>IF(AND('Mapa final'!$AB$21="Media",'Mapa final'!$AD$21="Moderado"),CONCATENATE("R2C",'Mapa final'!$R$21),"")</f>
        <v/>
      </c>
      <c r="AA27" s="69" t="str">
        <f>IF(AND('Mapa final'!$AB$22="Media",'Mapa final'!$AD$22="Moderado"),CONCATENATE("R2C",'Mapa final'!$R$22),"")</f>
        <v/>
      </c>
      <c r="AB27" s="51" t="str">
        <f ca="1">IF(AND('Mapa final'!$AB$17="Media",'Mapa final'!$AD$17="Mayor"),CONCATENATE("R2C",'Mapa final'!$R$17),"")</f>
        <v/>
      </c>
      <c r="AC27" s="52" t="str">
        <f ca="1">IF(AND('Mapa final'!$AB$18="Media",'Mapa final'!$AD$18="Mayor"),CONCATENATE("R2C",'Mapa final'!$R$18),"")</f>
        <v/>
      </c>
      <c r="AD27" s="52" t="str">
        <f ca="1">IF(AND('Mapa final'!$AB$19="Media",'Mapa final'!$AD$19="Mayor"),CONCATENATE("R2C",'Mapa final'!$R$19),"")</f>
        <v/>
      </c>
      <c r="AE27" s="52" t="str">
        <f>IF(AND('Mapa final'!$AB$20="Media",'Mapa final'!$AD$20="Mayor"),CONCATENATE("R2C",'Mapa final'!$R$20),"")</f>
        <v/>
      </c>
      <c r="AF27" s="52" t="str">
        <f>IF(AND('Mapa final'!$AB$21="Media",'Mapa final'!$AD$21="Mayor"),CONCATENATE("R2C",'Mapa final'!$R$21),"")</f>
        <v/>
      </c>
      <c r="AG27" s="53" t="str">
        <f>IF(AND('Mapa final'!$AB$22="Media",'Mapa final'!$AD$22="Mayor"),CONCATENATE("R2C",'Mapa final'!$R$22),"")</f>
        <v/>
      </c>
      <c r="AH27" s="54" t="str">
        <f ca="1">IF(AND('Mapa final'!$AB$17="Media",'Mapa final'!$AD$17="Catastrófico"),CONCATENATE("R2C",'Mapa final'!$R$17),"")</f>
        <v/>
      </c>
      <c r="AI27" s="55" t="str">
        <f ca="1">IF(AND('Mapa final'!$AB$18="Media",'Mapa final'!$AD$18="Catastrófico"),CONCATENATE("R2C",'Mapa final'!$R$18),"")</f>
        <v/>
      </c>
      <c r="AJ27" s="55" t="str">
        <f ca="1">IF(AND('Mapa final'!$AB$19="Media",'Mapa final'!$AD$19="Catastrófico"),CONCATENATE("R2C",'Mapa final'!$R$19),"")</f>
        <v/>
      </c>
      <c r="AK27" s="55" t="str">
        <f>IF(AND('Mapa final'!$AB$20="Media",'Mapa final'!$AD$20="Catastrófico"),CONCATENATE("R2C",'Mapa final'!$R$20),"")</f>
        <v/>
      </c>
      <c r="AL27" s="55" t="str">
        <f>IF(AND('Mapa final'!$AB$21="Media",'Mapa final'!$AD$21="Catastrófico"),CONCATENATE("R2C",'Mapa final'!$R$21),"")</f>
        <v/>
      </c>
      <c r="AM27" s="56" t="str">
        <f>IF(AND('Mapa final'!$AB$22="Media",'Mapa final'!$AD$22="Catastrófico"),CONCATENATE("R2C",'Mapa final'!$R$22),"")</f>
        <v/>
      </c>
      <c r="AN27" s="83"/>
      <c r="AO27" s="415"/>
      <c r="AP27" s="416"/>
      <c r="AQ27" s="416"/>
      <c r="AR27" s="416"/>
      <c r="AS27" s="416"/>
      <c r="AT27" s="41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4"/>
      <c r="C28" s="284"/>
      <c r="D28" s="285"/>
      <c r="E28" s="385"/>
      <c r="F28" s="386"/>
      <c r="G28" s="386"/>
      <c r="H28" s="386"/>
      <c r="I28" s="401"/>
      <c r="J28" s="67" t="str">
        <f ca="1">IF(AND('Mapa final'!$AB$23="Media",'Mapa final'!$AD$23="Leve"),CONCATENATE("R3C",'Mapa final'!$R$23),"")</f>
        <v/>
      </c>
      <c r="K28" s="68" t="str">
        <f ca="1">IF(AND('Mapa final'!$AB$24="Media",'Mapa final'!$AD$24="Leve"),CONCATENATE("R3C",'Mapa final'!$R$24),"")</f>
        <v/>
      </c>
      <c r="L28" s="68" t="str">
        <f ca="1">IF(AND('Mapa final'!$AB$25="Media",'Mapa final'!$AD$25="Leve"),CONCATENATE("R3C",'Mapa final'!$R$25),"")</f>
        <v/>
      </c>
      <c r="M28" s="68" t="str">
        <f ca="1">IF(AND('Mapa final'!$AB$26="Media",'Mapa final'!$AD$26="Leve"),CONCATENATE("R3C",'Mapa final'!$R$26),"")</f>
        <v/>
      </c>
      <c r="N28" s="68" t="str">
        <f ca="1">IF(AND('Mapa final'!$AB$27="Media",'Mapa final'!$AD$27="Leve"),CONCATENATE("R3C",'Mapa final'!$R$27),"")</f>
        <v/>
      </c>
      <c r="O28" s="69" t="str">
        <f>IF(AND('Mapa final'!$AB$28="Media",'Mapa final'!$AD$28="Leve"),CONCATENATE("R3C",'Mapa final'!$R$28),"")</f>
        <v/>
      </c>
      <c r="P28" s="67" t="str">
        <f ca="1">IF(AND('Mapa final'!$AB$23="Media",'Mapa final'!$AD$23="Menor"),CONCATENATE("R3C",'Mapa final'!$R$23),"")</f>
        <v/>
      </c>
      <c r="Q28" s="68" t="str">
        <f ca="1">IF(AND('Mapa final'!$AB$24="Media",'Mapa final'!$AD$24="Menor"),CONCATENATE("R3C",'Mapa final'!$R$24),"")</f>
        <v/>
      </c>
      <c r="R28" s="68" t="str">
        <f ca="1">IF(AND('Mapa final'!$AB$25="Media",'Mapa final'!$AD$25="Menor"),CONCATENATE("R3C",'Mapa final'!$R$25),"")</f>
        <v/>
      </c>
      <c r="S28" s="68" t="str">
        <f ca="1">IF(AND('Mapa final'!$AB$26="Media",'Mapa final'!$AD$26="Menor"),CONCATENATE("R3C",'Mapa final'!$R$26),"")</f>
        <v/>
      </c>
      <c r="T28" s="68" t="str">
        <f ca="1">IF(AND('Mapa final'!$AB$27="Media",'Mapa final'!$AD$27="Menor"),CONCATENATE("R3C",'Mapa final'!$R$27),"")</f>
        <v/>
      </c>
      <c r="U28" s="69" t="str">
        <f>IF(AND('Mapa final'!$AB$28="Media",'Mapa final'!$AD$28="Menor"),CONCATENATE("R3C",'Mapa final'!$R$28),"")</f>
        <v/>
      </c>
      <c r="V28" s="67" t="str">
        <f ca="1">IF(AND('Mapa final'!$AB$23="Media",'Mapa final'!$AD$23="Moderado"),CONCATENATE("R3C",'Mapa final'!$R$23),"")</f>
        <v/>
      </c>
      <c r="W28" s="68" t="str">
        <f ca="1">IF(AND('Mapa final'!$AB$24="Media",'Mapa final'!$AD$24="Moderado"),CONCATENATE("R3C",'Mapa final'!$R$24),"")</f>
        <v/>
      </c>
      <c r="X28" s="68" t="str">
        <f ca="1">IF(AND('Mapa final'!$AB$25="Media",'Mapa final'!$AD$25="Moderado"),CONCATENATE("R3C",'Mapa final'!$R$25),"")</f>
        <v/>
      </c>
      <c r="Y28" s="68" t="str">
        <f ca="1">IF(AND('Mapa final'!$AB$26="Media",'Mapa final'!$AD$26="Moderado"),CONCATENATE("R3C",'Mapa final'!$R$26),"")</f>
        <v/>
      </c>
      <c r="Z28" s="68" t="str">
        <f ca="1">IF(AND('Mapa final'!$AB$27="Media",'Mapa final'!$AD$27="Moderado"),CONCATENATE("R3C",'Mapa final'!$R$27),"")</f>
        <v/>
      </c>
      <c r="AA28" s="69" t="str">
        <f>IF(AND('Mapa final'!$AB$28="Media",'Mapa final'!$AD$28="Moderado"),CONCATENATE("R3C",'Mapa final'!$R$28),"")</f>
        <v/>
      </c>
      <c r="AB28" s="51" t="str">
        <f ca="1">IF(AND('Mapa final'!$AB$23="Media",'Mapa final'!$AD$23="Mayor"),CONCATENATE("R3C",'Mapa final'!$R$23),"")</f>
        <v/>
      </c>
      <c r="AC28" s="52" t="str">
        <f ca="1">IF(AND('Mapa final'!$AB$24="Media",'Mapa final'!$AD$24="Mayor"),CONCATENATE("R3C",'Mapa final'!$R$24),"")</f>
        <v/>
      </c>
      <c r="AD28" s="52" t="str">
        <f ca="1">IF(AND('Mapa final'!$AB$25="Media",'Mapa final'!$AD$25="Mayor"),CONCATENATE("R3C",'Mapa final'!$R$25),"")</f>
        <v/>
      </c>
      <c r="AE28" s="52" t="str">
        <f ca="1">IF(AND('Mapa final'!$AB$26="Media",'Mapa final'!$AD$26="Mayor"),CONCATENATE("R3C",'Mapa final'!$R$26),"")</f>
        <v/>
      </c>
      <c r="AF28" s="52" t="str">
        <f ca="1">IF(AND('Mapa final'!$AB$27="Media",'Mapa final'!$AD$27="Mayor"),CONCATENATE("R3C",'Mapa final'!$R$27),"")</f>
        <v/>
      </c>
      <c r="AG28" s="53" t="str">
        <f>IF(AND('Mapa final'!$AB$28="Media",'Mapa final'!$AD$28="Mayor"),CONCATENATE("R3C",'Mapa final'!$R$28),"")</f>
        <v/>
      </c>
      <c r="AH28" s="54" t="str">
        <f ca="1">IF(AND('Mapa final'!$AB$23="Media",'Mapa final'!$AD$23="Catastrófico"),CONCATENATE("R3C",'Mapa final'!$R$23),"")</f>
        <v/>
      </c>
      <c r="AI28" s="55" t="str">
        <f ca="1">IF(AND('Mapa final'!$AB$24="Media",'Mapa final'!$AD$24="Catastrófico"),CONCATENATE("R3C",'Mapa final'!$R$24),"")</f>
        <v/>
      </c>
      <c r="AJ28" s="55" t="str">
        <f ca="1">IF(AND('Mapa final'!$AB$25="Media",'Mapa final'!$AD$25="Catastrófico"),CONCATENATE("R3C",'Mapa final'!$R$25),"")</f>
        <v/>
      </c>
      <c r="AK28" s="55" t="str">
        <f ca="1">IF(AND('Mapa final'!$AB$26="Media",'Mapa final'!$AD$26="Catastrófico"),CONCATENATE("R3C",'Mapa final'!$R$26),"")</f>
        <v/>
      </c>
      <c r="AL28" s="55" t="str">
        <f ca="1">IF(AND('Mapa final'!$AB$27="Media",'Mapa final'!$AD$27="Catastrófico"),CONCATENATE("R3C",'Mapa final'!$R$27),"")</f>
        <v/>
      </c>
      <c r="AM28" s="56" t="str">
        <f>IF(AND('Mapa final'!$AB$28="Media",'Mapa final'!$AD$28="Catastrófico"),CONCATENATE("R3C",'Mapa final'!$R$28),"")</f>
        <v/>
      </c>
      <c r="AN28" s="83"/>
      <c r="AO28" s="415"/>
      <c r="AP28" s="416"/>
      <c r="AQ28" s="416"/>
      <c r="AR28" s="416"/>
      <c r="AS28" s="416"/>
      <c r="AT28" s="41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4"/>
      <c r="C29" s="284"/>
      <c r="D29" s="285"/>
      <c r="E29" s="385"/>
      <c r="F29" s="386"/>
      <c r="G29" s="386"/>
      <c r="H29" s="386"/>
      <c r="I29" s="401"/>
      <c r="J29" s="67" t="str">
        <f ca="1">IF(AND('Mapa final'!$AB$29="Media",'Mapa final'!$AD$29="Leve"),CONCATENATE("R4C",'Mapa final'!$R$29),"")</f>
        <v/>
      </c>
      <c r="K29" s="68" t="str">
        <f ca="1">IF(AND('Mapa final'!$AB$30="Media",'Mapa final'!$AD$30="Leve"),CONCATENATE("R4C",'Mapa final'!$R$30),"")</f>
        <v/>
      </c>
      <c r="L29" s="68" t="str">
        <f ca="1">IF(AND('Mapa final'!$AB$31="Media",'Mapa final'!$AD$31="Leve"),CONCATENATE("R4C",'Mapa final'!$R$31),"")</f>
        <v/>
      </c>
      <c r="M29" s="68" t="str">
        <f ca="1">IF(AND('Mapa final'!$AB$32="Media",'Mapa final'!$AD$32="Leve"),CONCATENATE("R4C",'Mapa final'!$R$32),"")</f>
        <v/>
      </c>
      <c r="N29" s="68" t="str">
        <f>IF(AND('Mapa final'!$AB$33="Media",'Mapa final'!$AD$33="Leve"),CONCATENATE("R4C",'Mapa final'!$R$33),"")</f>
        <v/>
      </c>
      <c r="O29" s="69" t="str">
        <f>IF(AND('Mapa final'!$AB$34="Media",'Mapa final'!$AD$34="Leve"),CONCATENATE("R4C",'Mapa final'!$R$34),"")</f>
        <v/>
      </c>
      <c r="P29" s="67" t="str">
        <f ca="1">IF(AND('Mapa final'!$AB$29="Media",'Mapa final'!$AD$29="Menor"),CONCATENATE("R4C",'Mapa final'!$R$29),"")</f>
        <v/>
      </c>
      <c r="Q29" s="68" t="str">
        <f ca="1">IF(AND('Mapa final'!$AB$30="Media",'Mapa final'!$AD$30="Menor"),CONCATENATE("R4C",'Mapa final'!$R$30),"")</f>
        <v/>
      </c>
      <c r="R29" s="68" t="str">
        <f ca="1">IF(AND('Mapa final'!$AB$31="Media",'Mapa final'!$AD$31="Menor"),CONCATENATE("R4C",'Mapa final'!$R$31),"")</f>
        <v/>
      </c>
      <c r="S29" s="68" t="str">
        <f ca="1">IF(AND('Mapa final'!$AB$32="Media",'Mapa final'!$AD$32="Menor"),CONCATENATE("R4C",'Mapa final'!$R$32),"")</f>
        <v/>
      </c>
      <c r="T29" s="68" t="str">
        <f>IF(AND('Mapa final'!$AB$33="Media",'Mapa final'!$AD$33="Menor"),CONCATENATE("R4C",'Mapa final'!$R$33),"")</f>
        <v/>
      </c>
      <c r="U29" s="69" t="str">
        <f>IF(AND('Mapa final'!$AB$34="Media",'Mapa final'!$AD$34="Menor"),CONCATENATE("R4C",'Mapa final'!$R$34),"")</f>
        <v/>
      </c>
      <c r="V29" s="67" t="str">
        <f ca="1">IF(AND('Mapa final'!$AB$29="Media",'Mapa final'!$AD$29="Moderado"),CONCATENATE("R4C",'Mapa final'!$R$29),"")</f>
        <v/>
      </c>
      <c r="W29" s="68" t="str">
        <f ca="1">IF(AND('Mapa final'!$AB$30="Media",'Mapa final'!$AD$30="Moderado"),CONCATENATE("R4C",'Mapa final'!$R$30),"")</f>
        <v/>
      </c>
      <c r="X29" s="68" t="str">
        <f ca="1">IF(AND('Mapa final'!$AB$31="Media",'Mapa final'!$AD$31="Moderado"),CONCATENATE("R4C",'Mapa final'!$R$31),"")</f>
        <v/>
      </c>
      <c r="Y29" s="68" t="str">
        <f ca="1">IF(AND('Mapa final'!$AB$32="Media",'Mapa final'!$AD$32="Moderado"),CONCATENATE("R4C",'Mapa final'!$R$32),"")</f>
        <v/>
      </c>
      <c r="Z29" s="68" t="str">
        <f>IF(AND('Mapa final'!$AB$33="Media",'Mapa final'!$AD$33="Moderado"),CONCATENATE("R4C",'Mapa final'!$R$33),"")</f>
        <v/>
      </c>
      <c r="AA29" s="69" t="str">
        <f>IF(AND('Mapa final'!$AB$34="Media",'Mapa final'!$AD$34="Moderado"),CONCATENATE("R4C",'Mapa final'!$R$34),"")</f>
        <v/>
      </c>
      <c r="AB29" s="51" t="str">
        <f ca="1">IF(AND('Mapa final'!$AB$29="Media",'Mapa final'!$AD$29="Mayor"),CONCATENATE("R4C",'Mapa final'!$R$29),"")</f>
        <v/>
      </c>
      <c r="AC29" s="52" t="str">
        <f ca="1">IF(AND('Mapa final'!$AB$30="Media",'Mapa final'!$AD$30="Mayor"),CONCATENATE("R4C",'Mapa final'!$R$30),"")</f>
        <v/>
      </c>
      <c r="AD29" s="57" t="str">
        <f ca="1">IF(AND('Mapa final'!$AB$31="Media",'Mapa final'!$AD$31="Mayor"),CONCATENATE("R4C",'Mapa final'!$R$31),"")</f>
        <v/>
      </c>
      <c r="AE29" s="57" t="str">
        <f ca="1">IF(AND('Mapa final'!$AB$32="Media",'Mapa final'!$AD$32="Mayor"),CONCATENATE("R4C",'Mapa final'!$R$32),"")</f>
        <v/>
      </c>
      <c r="AF29" s="57" t="str">
        <f>IF(AND('Mapa final'!$AB$33="Media",'Mapa final'!$AD$33="Mayor"),CONCATENATE("R4C",'Mapa final'!$R$33),"")</f>
        <v/>
      </c>
      <c r="AG29" s="53" t="str">
        <f>IF(AND('Mapa final'!$AB$34="Media",'Mapa final'!$AD$34="Mayor"),CONCATENATE("R4C",'Mapa final'!$R$34),"")</f>
        <v/>
      </c>
      <c r="AH29" s="54" t="str">
        <f ca="1">IF(AND('Mapa final'!$AB$29="Media",'Mapa final'!$AD$29="Catastrófico"),CONCATENATE("R4C",'Mapa final'!$R$29),"")</f>
        <v/>
      </c>
      <c r="AI29" s="55" t="str">
        <f ca="1">IF(AND('Mapa final'!$AB$30="Media",'Mapa final'!$AD$30="Catastrófico"),CONCATENATE("R4C",'Mapa final'!$R$30),"")</f>
        <v/>
      </c>
      <c r="AJ29" s="55" t="str">
        <f ca="1">IF(AND('Mapa final'!$AB$31="Media",'Mapa final'!$AD$31="Catastrófico"),CONCATENATE("R4C",'Mapa final'!$R$31),"")</f>
        <v/>
      </c>
      <c r="AK29" s="55" t="str">
        <f ca="1">IF(AND('Mapa final'!$AB$32="Media",'Mapa final'!$AD$32="Catastrófico"),CONCATENATE("R4C",'Mapa final'!$R$32),"")</f>
        <v/>
      </c>
      <c r="AL29" s="55" t="str">
        <f>IF(AND('Mapa final'!$AB$33="Media",'Mapa final'!$AD$33="Catastrófico"),CONCATENATE("R4C",'Mapa final'!$R$33),"")</f>
        <v/>
      </c>
      <c r="AM29" s="56" t="str">
        <f>IF(AND('Mapa final'!$AB$34="Media",'Mapa final'!$AD$34="Catastrófico"),CONCATENATE("R4C",'Mapa final'!$R$34),"")</f>
        <v/>
      </c>
      <c r="AN29" s="83"/>
      <c r="AO29" s="415"/>
      <c r="AP29" s="416"/>
      <c r="AQ29" s="416"/>
      <c r="AR29" s="416"/>
      <c r="AS29" s="416"/>
      <c r="AT29" s="41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4"/>
      <c r="C30" s="284"/>
      <c r="D30" s="285"/>
      <c r="E30" s="385"/>
      <c r="F30" s="386"/>
      <c r="G30" s="386"/>
      <c r="H30" s="386"/>
      <c r="I30" s="401"/>
      <c r="J30" s="67" t="str">
        <f ca="1">IF(AND('Mapa final'!$AB$41="Media",'Mapa final'!$AD$41="Leve"),CONCATENATE("R5C",'Mapa final'!$R$41),"")</f>
        <v/>
      </c>
      <c r="K30" s="68" t="str">
        <f ca="1">IF(AND('Mapa final'!$AB$42="Media",'Mapa final'!$AD$42="Leve"),CONCATENATE("R5C",'Mapa final'!$R$42),"")</f>
        <v/>
      </c>
      <c r="L30" s="68" t="str">
        <f ca="1">IF(AND('Mapa final'!$AB$43="Media",'Mapa final'!$AD$43="Leve"),CONCATENATE("R5C",'Mapa final'!$R$43),"")</f>
        <v/>
      </c>
      <c r="M30" s="68" t="str">
        <f ca="1">IF(AND('Mapa final'!$AB$44="Media",'Mapa final'!$AD$44="Leve"),CONCATENATE("R5C",'Mapa final'!$R$44),"")</f>
        <v/>
      </c>
      <c r="N30" s="68" t="str">
        <f>IF(AND('Mapa final'!$AB$45="Media",'Mapa final'!$AD$45="Leve"),CONCATENATE("R5C",'Mapa final'!$R$45),"")</f>
        <v/>
      </c>
      <c r="O30" s="69" t="str">
        <f>IF(AND('Mapa final'!$AB$46="Media",'Mapa final'!$AD$46="Leve"),CONCATENATE("R5C",'Mapa final'!$R$46),"")</f>
        <v/>
      </c>
      <c r="P30" s="67" t="str">
        <f ca="1">IF(AND('Mapa final'!$AB$41="Media",'Mapa final'!$AD$41="Menor"),CONCATENATE("R5C",'Mapa final'!$R$41),"")</f>
        <v/>
      </c>
      <c r="Q30" s="68" t="str">
        <f ca="1">IF(AND('Mapa final'!$AB$42="Media",'Mapa final'!$AD$42="Menor"),CONCATENATE("R5C",'Mapa final'!$R$42),"")</f>
        <v/>
      </c>
      <c r="R30" s="68" t="str">
        <f ca="1">IF(AND('Mapa final'!$AB$43="Media",'Mapa final'!$AD$43="Menor"),CONCATENATE("R5C",'Mapa final'!$R$43),"")</f>
        <v/>
      </c>
      <c r="S30" s="68" t="str">
        <f ca="1">IF(AND('Mapa final'!$AB$44="Media",'Mapa final'!$AD$44="Menor"),CONCATENATE("R5C",'Mapa final'!$R$44),"")</f>
        <v/>
      </c>
      <c r="T30" s="68" t="str">
        <f>IF(AND('Mapa final'!$AB$45="Media",'Mapa final'!$AD$45="Menor"),CONCATENATE("R5C",'Mapa final'!$R$45),"")</f>
        <v/>
      </c>
      <c r="U30" s="69" t="str">
        <f>IF(AND('Mapa final'!$AB$46="Media",'Mapa final'!$AD$46="Menor"),CONCATENATE("R5C",'Mapa final'!$R$46),"")</f>
        <v/>
      </c>
      <c r="V30" s="67" t="str">
        <f ca="1">IF(AND('Mapa final'!$AB$41="Media",'Mapa final'!$AD$41="Moderado"),CONCATENATE("R5C",'Mapa final'!$R$41),"")</f>
        <v>R5C1</v>
      </c>
      <c r="W30" s="68" t="str">
        <f ca="1">IF(AND('Mapa final'!$AB$42="Media",'Mapa final'!$AD$42="Moderado"),CONCATENATE("R5C",'Mapa final'!$R$42),"")</f>
        <v>R5C2</v>
      </c>
      <c r="X30" s="68" t="str">
        <f ca="1">IF(AND('Mapa final'!$AB$43="Media",'Mapa final'!$AD$43="Moderado"),CONCATENATE("R5C",'Mapa final'!$R$43),"")</f>
        <v/>
      </c>
      <c r="Y30" s="68" t="str">
        <f ca="1">IF(AND('Mapa final'!$AB$44="Media",'Mapa final'!$AD$44="Moderado"),CONCATENATE("R5C",'Mapa final'!$R$44),"")</f>
        <v/>
      </c>
      <c r="Z30" s="68" t="str">
        <f>IF(AND('Mapa final'!$AB$45="Media",'Mapa final'!$AD$45="Moderado"),CONCATENATE("R5C",'Mapa final'!$R$45),"")</f>
        <v/>
      </c>
      <c r="AA30" s="69" t="str">
        <f>IF(AND('Mapa final'!$AB$46="Media",'Mapa final'!$AD$46="Moderado"),CONCATENATE("R5C",'Mapa final'!$R$46),"")</f>
        <v/>
      </c>
      <c r="AB30" s="51" t="str">
        <f ca="1">IF(AND('Mapa final'!$AB$41="Media",'Mapa final'!$AD$41="Mayor"),CONCATENATE("R5C",'Mapa final'!$R$41),"")</f>
        <v/>
      </c>
      <c r="AC30" s="52" t="str">
        <f ca="1">IF(AND('Mapa final'!$AB$42="Media",'Mapa final'!$AD$42="Mayor"),CONCATENATE("R5C",'Mapa final'!$R$42),"")</f>
        <v/>
      </c>
      <c r="AD30" s="57" t="str">
        <f ca="1">IF(AND('Mapa final'!$AB$43="Media",'Mapa final'!$AD$43="Mayor"),CONCATENATE("R5C",'Mapa final'!$R$43),"")</f>
        <v/>
      </c>
      <c r="AE30" s="57" t="str">
        <f ca="1">IF(AND('Mapa final'!$AB$44="Media",'Mapa final'!$AD$44="Mayor"),CONCATENATE("R5C",'Mapa final'!$R$44),"")</f>
        <v/>
      </c>
      <c r="AF30" s="57" t="str">
        <f>IF(AND('Mapa final'!$AB$45="Media",'Mapa final'!$AD$45="Mayor"),CONCATENATE("R5C",'Mapa final'!$R$45),"")</f>
        <v/>
      </c>
      <c r="AG30" s="53" t="str">
        <f>IF(AND('Mapa final'!$AB$46="Media",'Mapa final'!$AD$46="Mayor"),CONCATENATE("R5C",'Mapa final'!$R$46),"")</f>
        <v/>
      </c>
      <c r="AH30" s="54" t="str">
        <f ca="1">IF(AND('Mapa final'!$AB$41="Media",'Mapa final'!$AD$41="Catastrófico"),CONCATENATE("R5C",'Mapa final'!$R$41),"")</f>
        <v/>
      </c>
      <c r="AI30" s="55" t="str">
        <f ca="1">IF(AND('Mapa final'!$AB$42="Media",'Mapa final'!$AD$42="Catastrófico"),CONCATENATE("R5C",'Mapa final'!$R$42),"")</f>
        <v/>
      </c>
      <c r="AJ30" s="55" t="str">
        <f ca="1">IF(AND('Mapa final'!$AB$43="Media",'Mapa final'!$AD$43="Catastrófico"),CONCATENATE("R5C",'Mapa final'!$R$43),"")</f>
        <v/>
      </c>
      <c r="AK30" s="55" t="str">
        <f ca="1">IF(AND('Mapa final'!$AB$44="Media",'Mapa final'!$AD$44="Catastrófico"),CONCATENATE("R5C",'Mapa final'!$R$44),"")</f>
        <v/>
      </c>
      <c r="AL30" s="55" t="str">
        <f>IF(AND('Mapa final'!$AB$45="Media",'Mapa final'!$AD$45="Catastrófico"),CONCATENATE("R5C",'Mapa final'!$R$45),"")</f>
        <v/>
      </c>
      <c r="AM30" s="56" t="str">
        <f>IF(AND('Mapa final'!$AB$46="Media",'Mapa final'!$AD$46="Catastrófico"),CONCATENATE("R5C",'Mapa final'!$R$46),"")</f>
        <v/>
      </c>
      <c r="AN30" s="83"/>
      <c r="AO30" s="415"/>
      <c r="AP30" s="416"/>
      <c r="AQ30" s="416"/>
      <c r="AR30" s="416"/>
      <c r="AS30" s="416"/>
      <c r="AT30" s="41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4"/>
      <c r="C31" s="284"/>
      <c r="D31" s="285"/>
      <c r="E31" s="385"/>
      <c r="F31" s="386"/>
      <c r="G31" s="386"/>
      <c r="H31" s="386"/>
      <c r="I31" s="401"/>
      <c r="J31" s="67" t="e">
        <f>IF(AND('Mapa final'!#REF!="Media",'Mapa final'!#REF!="Leve"),CONCATENATE("R6C",'Mapa final'!#REF!),"")</f>
        <v>#REF!</v>
      </c>
      <c r="K31" s="68" t="e">
        <f>IF(AND('Mapa final'!#REF!="Media",'Mapa final'!#REF!="Leve"),CONCATENATE("R6C",'Mapa final'!#REF!),"")</f>
        <v>#REF!</v>
      </c>
      <c r="L31" s="68" t="e">
        <f>IF(AND('Mapa final'!#REF!="Media",'Mapa final'!#REF!="Leve"),CONCATENATE("R6C",'Mapa final'!#REF!),"")</f>
        <v>#REF!</v>
      </c>
      <c r="M31" s="68" t="e">
        <f>IF(AND('Mapa final'!#REF!="Media",'Mapa final'!#REF!="Leve"),CONCATENATE("R6C",'Mapa final'!#REF!),"")</f>
        <v>#REF!</v>
      </c>
      <c r="N31" s="68" t="e">
        <f>IF(AND('Mapa final'!#REF!="Media",'Mapa final'!#REF!="Leve"),CONCATENATE("R6C",'Mapa final'!#REF!),"")</f>
        <v>#REF!</v>
      </c>
      <c r="O31" s="69" t="e">
        <f>IF(AND('Mapa final'!#REF!="Media",'Mapa final'!#REF!="Leve"),CONCATENATE("R6C",'Mapa final'!#REF!),"")</f>
        <v>#REF!</v>
      </c>
      <c r="P31" s="67" t="e">
        <f>IF(AND('Mapa final'!#REF!="Media",'Mapa final'!#REF!="Menor"),CONCATENATE("R6C",'Mapa final'!#REF!),"")</f>
        <v>#REF!</v>
      </c>
      <c r="Q31" s="68" t="e">
        <f>IF(AND('Mapa final'!#REF!="Media",'Mapa final'!#REF!="Menor"),CONCATENATE("R6C",'Mapa final'!#REF!),"")</f>
        <v>#REF!</v>
      </c>
      <c r="R31" s="68" t="e">
        <f>IF(AND('Mapa final'!#REF!="Media",'Mapa final'!#REF!="Menor"),CONCATENATE("R6C",'Mapa final'!#REF!),"")</f>
        <v>#REF!</v>
      </c>
      <c r="S31" s="68" t="e">
        <f>IF(AND('Mapa final'!#REF!="Media",'Mapa final'!#REF!="Menor"),CONCATENATE("R6C",'Mapa final'!#REF!),"")</f>
        <v>#REF!</v>
      </c>
      <c r="T31" s="68" t="e">
        <f>IF(AND('Mapa final'!#REF!="Media",'Mapa final'!#REF!="Menor"),CONCATENATE("R6C",'Mapa final'!#REF!),"")</f>
        <v>#REF!</v>
      </c>
      <c r="U31" s="69" t="e">
        <f>IF(AND('Mapa final'!#REF!="Media",'Mapa final'!#REF!="Menor"),CONCATENATE("R6C",'Mapa final'!#REF!),"")</f>
        <v>#REF!</v>
      </c>
      <c r="V31" s="67" t="e">
        <f>IF(AND('Mapa final'!#REF!="Media",'Mapa final'!#REF!="Moderado"),CONCATENATE("R6C",'Mapa final'!#REF!),"")</f>
        <v>#REF!</v>
      </c>
      <c r="W31" s="68" t="e">
        <f>IF(AND('Mapa final'!#REF!="Media",'Mapa final'!#REF!="Moderado"),CONCATENATE("R6C",'Mapa final'!#REF!),"")</f>
        <v>#REF!</v>
      </c>
      <c r="X31" s="68" t="e">
        <f>IF(AND('Mapa final'!#REF!="Media",'Mapa final'!#REF!="Moderado"),CONCATENATE("R6C",'Mapa final'!#REF!),"")</f>
        <v>#REF!</v>
      </c>
      <c r="Y31" s="68" t="e">
        <f>IF(AND('Mapa final'!#REF!="Media",'Mapa final'!#REF!="Moderado"),CONCATENATE("R6C",'Mapa final'!#REF!),"")</f>
        <v>#REF!</v>
      </c>
      <c r="Z31" s="68" t="e">
        <f>IF(AND('Mapa final'!#REF!="Media",'Mapa final'!#REF!="Moderado"),CONCATENATE("R6C",'Mapa final'!#REF!),"")</f>
        <v>#REF!</v>
      </c>
      <c r="AA31" s="69" t="e">
        <f>IF(AND('Mapa final'!#REF!="Media",'Mapa final'!#REF!="Moderado"),CONCATENATE("R6C",'Mapa final'!#REF!),"")</f>
        <v>#REF!</v>
      </c>
      <c r="AB31" s="51" t="e">
        <f>IF(AND('Mapa final'!#REF!="Media",'Mapa final'!#REF!="Mayor"),CONCATENATE("R6C",'Mapa final'!#REF!),"")</f>
        <v>#REF!</v>
      </c>
      <c r="AC31" s="52" t="e">
        <f>IF(AND('Mapa final'!#REF!="Media",'Mapa final'!#REF!="Mayor"),CONCATENATE("R6C",'Mapa final'!#REF!),"")</f>
        <v>#REF!</v>
      </c>
      <c r="AD31" s="57" t="e">
        <f>IF(AND('Mapa final'!#REF!="Media",'Mapa final'!#REF!="Mayor"),CONCATENATE("R6C",'Mapa final'!#REF!),"")</f>
        <v>#REF!</v>
      </c>
      <c r="AE31" s="57" t="e">
        <f>IF(AND('Mapa final'!#REF!="Media",'Mapa final'!#REF!="Mayor"),CONCATENATE("R6C",'Mapa final'!#REF!),"")</f>
        <v>#REF!</v>
      </c>
      <c r="AF31" s="57" t="e">
        <f>IF(AND('Mapa final'!#REF!="Media",'Mapa final'!#REF!="Mayor"),CONCATENATE("R6C",'Mapa final'!#REF!),"")</f>
        <v>#REF!</v>
      </c>
      <c r="AG31" s="53" t="e">
        <f>IF(AND('Mapa final'!#REF!="Media",'Mapa final'!#REF!="Mayor"),CONCATENATE("R6C",'Mapa final'!#REF!),"")</f>
        <v>#REF!</v>
      </c>
      <c r="AH31" s="54" t="e">
        <f>IF(AND('Mapa final'!#REF!="Media",'Mapa final'!#REF!="Catastrófico"),CONCATENATE("R6C",'Mapa final'!#REF!),"")</f>
        <v>#REF!</v>
      </c>
      <c r="AI31" s="55" t="e">
        <f>IF(AND('Mapa final'!#REF!="Media",'Mapa final'!#REF!="Catastrófico"),CONCATENATE("R6C",'Mapa final'!#REF!),"")</f>
        <v>#REF!</v>
      </c>
      <c r="AJ31" s="55" t="e">
        <f>IF(AND('Mapa final'!#REF!="Media",'Mapa final'!#REF!="Catastrófico"),CONCATENATE("R6C",'Mapa final'!#REF!),"")</f>
        <v>#REF!</v>
      </c>
      <c r="AK31" s="55" t="e">
        <f>IF(AND('Mapa final'!#REF!="Media",'Mapa final'!#REF!="Catastrófico"),CONCATENATE("R6C",'Mapa final'!#REF!),"")</f>
        <v>#REF!</v>
      </c>
      <c r="AL31" s="55" t="e">
        <f>IF(AND('Mapa final'!#REF!="Media",'Mapa final'!#REF!="Catastrófico"),CONCATENATE("R6C",'Mapa final'!#REF!),"")</f>
        <v>#REF!</v>
      </c>
      <c r="AM31" s="56" t="e">
        <f>IF(AND('Mapa final'!#REF!="Media",'Mapa final'!#REF!="Catastrófico"),CONCATENATE("R6C",'Mapa final'!#REF!),"")</f>
        <v>#REF!</v>
      </c>
      <c r="AN31" s="83"/>
      <c r="AO31" s="415"/>
      <c r="AP31" s="416"/>
      <c r="AQ31" s="416"/>
      <c r="AR31" s="416"/>
      <c r="AS31" s="416"/>
      <c r="AT31" s="41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4"/>
      <c r="C32" s="284"/>
      <c r="D32" s="285"/>
      <c r="E32" s="385"/>
      <c r="F32" s="386"/>
      <c r="G32" s="386"/>
      <c r="H32" s="386"/>
      <c r="I32" s="401"/>
      <c r="J32" s="67" t="e">
        <f>IF(AND('Mapa final'!#REF!="Media",'Mapa final'!#REF!="Leve"),CONCATENATE("R7C",'Mapa final'!#REF!),"")</f>
        <v>#REF!</v>
      </c>
      <c r="K32" s="68" t="e">
        <f>IF(AND('Mapa final'!#REF!="Media",'Mapa final'!#REF!="Leve"),CONCATENATE("R7C",'Mapa final'!#REF!),"")</f>
        <v>#REF!</v>
      </c>
      <c r="L32" s="68" t="e">
        <f>IF(AND('Mapa final'!#REF!="Media",'Mapa final'!#REF!="Leve"),CONCATENATE("R7C",'Mapa final'!#REF!),"")</f>
        <v>#REF!</v>
      </c>
      <c r="M32" s="68" t="e">
        <f>IF(AND('Mapa final'!#REF!="Media",'Mapa final'!#REF!="Leve"),CONCATENATE("R7C",'Mapa final'!#REF!),"")</f>
        <v>#REF!</v>
      </c>
      <c r="N32" s="68" t="e">
        <f>IF(AND('Mapa final'!#REF!="Media",'Mapa final'!#REF!="Leve"),CONCATENATE("R7C",'Mapa final'!#REF!),"")</f>
        <v>#REF!</v>
      </c>
      <c r="O32" s="69" t="e">
        <f>IF(AND('Mapa final'!#REF!="Media",'Mapa final'!#REF!="Leve"),CONCATENATE("R7C",'Mapa final'!#REF!),"")</f>
        <v>#REF!</v>
      </c>
      <c r="P32" s="67" t="e">
        <f>IF(AND('Mapa final'!#REF!="Media",'Mapa final'!#REF!="Menor"),CONCATENATE("R7C",'Mapa final'!#REF!),"")</f>
        <v>#REF!</v>
      </c>
      <c r="Q32" s="68" t="e">
        <f>IF(AND('Mapa final'!#REF!="Media",'Mapa final'!#REF!="Menor"),CONCATENATE("R7C",'Mapa final'!#REF!),"")</f>
        <v>#REF!</v>
      </c>
      <c r="R32" s="68" t="e">
        <f>IF(AND('Mapa final'!#REF!="Media",'Mapa final'!#REF!="Menor"),CONCATENATE("R7C",'Mapa final'!#REF!),"")</f>
        <v>#REF!</v>
      </c>
      <c r="S32" s="68" t="e">
        <f>IF(AND('Mapa final'!#REF!="Media",'Mapa final'!#REF!="Menor"),CONCATENATE("R7C",'Mapa final'!#REF!),"")</f>
        <v>#REF!</v>
      </c>
      <c r="T32" s="68" t="e">
        <f>IF(AND('Mapa final'!#REF!="Media",'Mapa final'!#REF!="Menor"),CONCATENATE("R7C",'Mapa final'!#REF!),"")</f>
        <v>#REF!</v>
      </c>
      <c r="U32" s="69" t="e">
        <f>IF(AND('Mapa final'!#REF!="Media",'Mapa final'!#REF!="Menor"),CONCATENATE("R7C",'Mapa final'!#REF!),"")</f>
        <v>#REF!</v>
      </c>
      <c r="V32" s="67" t="e">
        <f>IF(AND('Mapa final'!#REF!="Media",'Mapa final'!#REF!="Moderado"),CONCATENATE("R7C",'Mapa final'!#REF!),"")</f>
        <v>#REF!</v>
      </c>
      <c r="W32" s="68" t="e">
        <f>IF(AND('Mapa final'!#REF!="Media",'Mapa final'!#REF!="Moderado"),CONCATENATE("R7C",'Mapa final'!#REF!),"")</f>
        <v>#REF!</v>
      </c>
      <c r="X32" s="68" t="e">
        <f>IF(AND('Mapa final'!#REF!="Media",'Mapa final'!#REF!="Moderado"),CONCATENATE("R7C",'Mapa final'!#REF!),"")</f>
        <v>#REF!</v>
      </c>
      <c r="Y32" s="68" t="e">
        <f>IF(AND('Mapa final'!#REF!="Media",'Mapa final'!#REF!="Moderado"),CONCATENATE("R7C",'Mapa final'!#REF!),"")</f>
        <v>#REF!</v>
      </c>
      <c r="Z32" s="68" t="e">
        <f>IF(AND('Mapa final'!#REF!="Media",'Mapa final'!#REF!="Moderado"),CONCATENATE("R7C",'Mapa final'!#REF!),"")</f>
        <v>#REF!</v>
      </c>
      <c r="AA32" s="69" t="e">
        <f>IF(AND('Mapa final'!#REF!="Media",'Mapa final'!#REF!="Moderado"),CONCATENATE("R7C",'Mapa final'!#REF!),"")</f>
        <v>#REF!</v>
      </c>
      <c r="AB32" s="51" t="e">
        <f>IF(AND('Mapa final'!#REF!="Media",'Mapa final'!#REF!="Mayor"),CONCATENATE("R7C",'Mapa final'!#REF!),"")</f>
        <v>#REF!</v>
      </c>
      <c r="AC32" s="52" t="e">
        <f>IF(AND('Mapa final'!#REF!="Media",'Mapa final'!#REF!="Mayor"),CONCATENATE("R7C",'Mapa final'!#REF!),"")</f>
        <v>#REF!</v>
      </c>
      <c r="AD32" s="57" t="e">
        <f>IF(AND('Mapa final'!#REF!="Media",'Mapa final'!#REF!="Mayor"),CONCATENATE("R7C",'Mapa final'!#REF!),"")</f>
        <v>#REF!</v>
      </c>
      <c r="AE32" s="57" t="e">
        <f>IF(AND('Mapa final'!#REF!="Media",'Mapa final'!#REF!="Mayor"),CONCATENATE("R7C",'Mapa final'!#REF!),"")</f>
        <v>#REF!</v>
      </c>
      <c r="AF32" s="57" t="e">
        <f>IF(AND('Mapa final'!#REF!="Media",'Mapa final'!#REF!="Mayor"),CONCATENATE("R7C",'Mapa final'!#REF!),"")</f>
        <v>#REF!</v>
      </c>
      <c r="AG32" s="53" t="e">
        <f>IF(AND('Mapa final'!#REF!="Media",'Mapa final'!#REF!="Mayor"),CONCATENATE("R7C",'Mapa final'!#REF!),"")</f>
        <v>#REF!</v>
      </c>
      <c r="AH32" s="54" t="e">
        <f>IF(AND('Mapa final'!#REF!="Media",'Mapa final'!#REF!="Catastrófico"),CONCATENATE("R7C",'Mapa final'!#REF!),"")</f>
        <v>#REF!</v>
      </c>
      <c r="AI32" s="55" t="e">
        <f>IF(AND('Mapa final'!#REF!="Media",'Mapa final'!#REF!="Catastrófico"),CONCATENATE("R7C",'Mapa final'!#REF!),"")</f>
        <v>#REF!</v>
      </c>
      <c r="AJ32" s="55" t="e">
        <f>IF(AND('Mapa final'!#REF!="Media",'Mapa final'!#REF!="Catastrófico"),CONCATENATE("R7C",'Mapa final'!#REF!),"")</f>
        <v>#REF!</v>
      </c>
      <c r="AK32" s="55" t="e">
        <f>IF(AND('Mapa final'!#REF!="Media",'Mapa final'!#REF!="Catastrófico"),CONCATENATE("R7C",'Mapa final'!#REF!),"")</f>
        <v>#REF!</v>
      </c>
      <c r="AL32" s="55" t="e">
        <f>IF(AND('Mapa final'!#REF!="Media",'Mapa final'!#REF!="Catastrófico"),CONCATENATE("R7C",'Mapa final'!#REF!),"")</f>
        <v>#REF!</v>
      </c>
      <c r="AM32" s="56" t="e">
        <f>IF(AND('Mapa final'!#REF!="Media",'Mapa final'!#REF!="Catastrófico"),CONCATENATE("R7C",'Mapa final'!#REF!),"")</f>
        <v>#REF!</v>
      </c>
      <c r="AN32" s="83"/>
      <c r="AO32" s="415"/>
      <c r="AP32" s="416"/>
      <c r="AQ32" s="416"/>
      <c r="AR32" s="416"/>
      <c r="AS32" s="416"/>
      <c r="AT32" s="41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4"/>
      <c r="C33" s="284"/>
      <c r="D33" s="285"/>
      <c r="E33" s="385"/>
      <c r="F33" s="386"/>
      <c r="G33" s="386"/>
      <c r="H33" s="386"/>
      <c r="I33" s="401"/>
      <c r="J33" s="67" t="str">
        <f ca="1">IF(AND('Mapa final'!$AB$47="Media",'Mapa final'!$AD$47="Leve"),CONCATENATE("R8C",'Mapa final'!$R$47),"")</f>
        <v/>
      </c>
      <c r="K33" s="68" t="str">
        <f>IF(AND('Mapa final'!$AB$48="Media",'Mapa final'!$AD$48="Leve"),CONCATENATE("R8C",'Mapa final'!$R$48),"")</f>
        <v/>
      </c>
      <c r="L33" s="68" t="str">
        <f>IF(AND('Mapa final'!$AB$49="Media",'Mapa final'!$AD$49="Leve"),CONCATENATE("R8C",'Mapa final'!$R$49),"")</f>
        <v/>
      </c>
      <c r="M33" s="68" t="str">
        <f>IF(AND('Mapa final'!$AB$50="Media",'Mapa final'!$AD$50="Leve"),CONCATENATE("R8C",'Mapa final'!$R$50),"")</f>
        <v/>
      </c>
      <c r="N33" s="68" t="str">
        <f>IF(AND('Mapa final'!$AB$51="Media",'Mapa final'!$AD$51="Leve"),CONCATENATE("R8C",'Mapa final'!$R$51),"")</f>
        <v/>
      </c>
      <c r="O33" s="69" t="str">
        <f>IF(AND('Mapa final'!$AB$52="Media",'Mapa final'!$AD$52="Leve"),CONCATENATE("R8C",'Mapa final'!$R$52),"")</f>
        <v/>
      </c>
      <c r="P33" s="67" t="str">
        <f ca="1">IF(AND('Mapa final'!$AB$47="Media",'Mapa final'!$AD$47="Menor"),CONCATENATE("R8C",'Mapa final'!$R$47),"")</f>
        <v/>
      </c>
      <c r="Q33" s="68" t="str">
        <f>IF(AND('Mapa final'!$AB$48="Media",'Mapa final'!$AD$48="Menor"),CONCATENATE("R8C",'Mapa final'!$R$48),"")</f>
        <v/>
      </c>
      <c r="R33" s="68" t="str">
        <f>IF(AND('Mapa final'!$AB$49="Media",'Mapa final'!$AD$49="Menor"),CONCATENATE("R8C",'Mapa final'!$R$49),"")</f>
        <v/>
      </c>
      <c r="S33" s="68" t="str">
        <f>IF(AND('Mapa final'!$AB$50="Media",'Mapa final'!$AD$50="Menor"),CONCATENATE("R8C",'Mapa final'!$R$50),"")</f>
        <v/>
      </c>
      <c r="T33" s="68" t="str">
        <f>IF(AND('Mapa final'!$AB$51="Media",'Mapa final'!$AD$51="Menor"),CONCATENATE("R8C",'Mapa final'!$R$51),"")</f>
        <v/>
      </c>
      <c r="U33" s="69" t="str">
        <f>IF(AND('Mapa final'!$AB$52="Media",'Mapa final'!$AD$52="Menor"),CONCATENATE("R8C",'Mapa final'!$R$52),"")</f>
        <v/>
      </c>
      <c r="V33" s="67" t="str">
        <f ca="1">IF(AND('Mapa final'!$AB$47="Media",'Mapa final'!$AD$47="Moderado"),CONCATENATE("R8C",'Mapa final'!$R$47),"")</f>
        <v/>
      </c>
      <c r="W33" s="68" t="str">
        <f>IF(AND('Mapa final'!$AB$48="Media",'Mapa final'!$AD$48="Moderado"),CONCATENATE("R8C",'Mapa final'!$R$48),"")</f>
        <v/>
      </c>
      <c r="X33" s="68" t="str">
        <f>IF(AND('Mapa final'!$AB$49="Media",'Mapa final'!$AD$49="Moderado"),CONCATENATE("R8C",'Mapa final'!$R$49),"")</f>
        <v/>
      </c>
      <c r="Y33" s="68" t="str">
        <f>IF(AND('Mapa final'!$AB$50="Media",'Mapa final'!$AD$50="Moderado"),CONCATENATE("R8C",'Mapa final'!$R$50),"")</f>
        <v/>
      </c>
      <c r="Z33" s="68" t="str">
        <f>IF(AND('Mapa final'!$AB$51="Media",'Mapa final'!$AD$51="Moderado"),CONCATENATE("R8C",'Mapa final'!$R$51),"")</f>
        <v/>
      </c>
      <c r="AA33" s="69" t="str">
        <f>IF(AND('Mapa final'!$AB$52="Media",'Mapa final'!$AD$52="Moderado"),CONCATENATE("R8C",'Mapa final'!$R$52),"")</f>
        <v/>
      </c>
      <c r="AB33" s="51" t="str">
        <f ca="1">IF(AND('Mapa final'!$AB$47="Media",'Mapa final'!$AD$47="Mayor"),CONCATENATE("R8C",'Mapa final'!$R$47),"")</f>
        <v/>
      </c>
      <c r="AC33" s="52" t="str">
        <f>IF(AND('Mapa final'!$AB$48="Media",'Mapa final'!$AD$48="Mayor"),CONCATENATE("R8C",'Mapa final'!$R$48),"")</f>
        <v/>
      </c>
      <c r="AD33" s="57" t="str">
        <f>IF(AND('Mapa final'!$AB$49="Media",'Mapa final'!$AD$49="Mayor"),CONCATENATE("R8C",'Mapa final'!$R$49),"")</f>
        <v/>
      </c>
      <c r="AE33" s="57" t="str">
        <f>IF(AND('Mapa final'!$AB$50="Media",'Mapa final'!$AD$50="Mayor"),CONCATENATE("R8C",'Mapa final'!$R$50),"")</f>
        <v/>
      </c>
      <c r="AF33" s="57" t="str">
        <f>IF(AND('Mapa final'!$AB$51="Media",'Mapa final'!$AD$51="Mayor"),CONCATENATE("R8C",'Mapa final'!$R$51),"")</f>
        <v/>
      </c>
      <c r="AG33" s="53" t="str">
        <f>IF(AND('Mapa final'!$AB$52="Media",'Mapa final'!$AD$52="Mayor"),CONCATENATE("R8C",'Mapa final'!$R$52),"")</f>
        <v/>
      </c>
      <c r="AH33" s="54" t="str">
        <f ca="1">IF(AND('Mapa final'!$AB$47="Media",'Mapa final'!$AD$47="Catastrófico"),CONCATENATE("R8C",'Mapa final'!$R$47),"")</f>
        <v/>
      </c>
      <c r="AI33" s="55" t="str">
        <f>IF(AND('Mapa final'!$AB$48="Media",'Mapa final'!$AD$48="Catastrófico"),CONCATENATE("R8C",'Mapa final'!$R$48),"")</f>
        <v/>
      </c>
      <c r="AJ33" s="55" t="str">
        <f>IF(AND('Mapa final'!$AB$49="Media",'Mapa final'!$AD$49="Catastrófico"),CONCATENATE("R8C",'Mapa final'!$R$49),"")</f>
        <v/>
      </c>
      <c r="AK33" s="55" t="str">
        <f>IF(AND('Mapa final'!$AB$50="Media",'Mapa final'!$AD$50="Catastrófico"),CONCATENATE("R8C",'Mapa final'!$R$50),"")</f>
        <v/>
      </c>
      <c r="AL33" s="55" t="str">
        <f>IF(AND('Mapa final'!$AB$51="Media",'Mapa final'!$AD$51="Catastrófico"),CONCATENATE("R8C",'Mapa final'!$R$51),"")</f>
        <v/>
      </c>
      <c r="AM33" s="56" t="str">
        <f>IF(AND('Mapa final'!$AB$52="Media",'Mapa final'!$AD$52="Catastrófico"),CONCATENATE("R8C",'Mapa final'!$R$52),"")</f>
        <v/>
      </c>
      <c r="AN33" s="83"/>
      <c r="AO33" s="415"/>
      <c r="AP33" s="416"/>
      <c r="AQ33" s="416"/>
      <c r="AR33" s="416"/>
      <c r="AS33" s="416"/>
      <c r="AT33" s="41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4"/>
      <c r="C34" s="284"/>
      <c r="D34" s="285"/>
      <c r="E34" s="385"/>
      <c r="F34" s="386"/>
      <c r="G34" s="386"/>
      <c r="H34" s="386"/>
      <c r="I34" s="401"/>
      <c r="J34" s="67" t="str">
        <f ca="1">IF(AND('Mapa final'!$AB$59="Media",'Mapa final'!$AD$59="Leve"),CONCATENATE("R9C",'Mapa final'!$R$59),"")</f>
        <v/>
      </c>
      <c r="K34" s="68" t="str">
        <f ca="1">IF(AND('Mapa final'!$AB$60="Media",'Mapa final'!$AD$60="Leve"),CONCATENATE("R9C",'Mapa final'!$R$60),"")</f>
        <v/>
      </c>
      <c r="L34" s="68" t="str">
        <f>IF(AND('Mapa final'!$AB$61="Media",'Mapa final'!$AD$61="Leve"),CONCATENATE("R9C",'Mapa final'!$R$61),"")</f>
        <v/>
      </c>
      <c r="M34" s="68" t="str">
        <f>IF(AND('Mapa final'!$AB$62="Media",'Mapa final'!$AD$62="Leve"),CONCATENATE("R9C",'Mapa final'!$R$62),"")</f>
        <v/>
      </c>
      <c r="N34" s="68" t="str">
        <f>IF(AND('Mapa final'!$AB$63="Media",'Mapa final'!$AD$63="Leve"),CONCATENATE("R9C",'Mapa final'!$R$63),"")</f>
        <v/>
      </c>
      <c r="O34" s="69" t="str">
        <f>IF(AND('Mapa final'!$AB$70="Media",'Mapa final'!$AD$70="Leve"),CONCATENATE("R9C",'Mapa final'!$R$70),"")</f>
        <v/>
      </c>
      <c r="P34" s="67" t="str">
        <f ca="1">IF(AND('Mapa final'!$AB$59="Media",'Mapa final'!$AD$59="Menor"),CONCATENATE("R9C",'Mapa final'!$R$59),"")</f>
        <v>R9C1</v>
      </c>
      <c r="Q34" s="68" t="str">
        <f ca="1">IF(AND('Mapa final'!$AB$60="Media",'Mapa final'!$AD$60="Menor"),CONCATENATE("R9C",'Mapa final'!$R$60),"")</f>
        <v/>
      </c>
      <c r="R34" s="68" t="str">
        <f>IF(AND('Mapa final'!$AB$61="Media",'Mapa final'!$AD$61="Menor"),CONCATENATE("R9C",'Mapa final'!$R$61),"")</f>
        <v/>
      </c>
      <c r="S34" s="68" t="str">
        <f>IF(AND('Mapa final'!$AB$62="Media",'Mapa final'!$AD$62="Menor"),CONCATENATE("R9C",'Mapa final'!$R$62),"")</f>
        <v/>
      </c>
      <c r="T34" s="68" t="str">
        <f>IF(AND('Mapa final'!$AB$63="Media",'Mapa final'!$AD$63="Menor"),CONCATENATE("R9C",'Mapa final'!$R$63),"")</f>
        <v/>
      </c>
      <c r="U34" s="69" t="str">
        <f>IF(AND('Mapa final'!$AB$70="Media",'Mapa final'!$AD$70="Menor"),CONCATENATE("R9C",'Mapa final'!$R$70),"")</f>
        <v/>
      </c>
      <c r="V34" s="67" t="str">
        <f ca="1">IF(AND('Mapa final'!$AB$59="Media",'Mapa final'!$AD$59="Moderado"),CONCATENATE("R9C",'Mapa final'!$R$59),"")</f>
        <v/>
      </c>
      <c r="W34" s="68" t="str">
        <f ca="1">IF(AND('Mapa final'!$AB$60="Media",'Mapa final'!$AD$60="Moderado"),CONCATENATE("R9C",'Mapa final'!$R$60),"")</f>
        <v/>
      </c>
      <c r="X34" s="68" t="str">
        <f>IF(AND('Mapa final'!$AB$61="Media",'Mapa final'!$AD$61="Moderado"),CONCATENATE("R9C",'Mapa final'!$R$61),"")</f>
        <v/>
      </c>
      <c r="Y34" s="68" t="str">
        <f>IF(AND('Mapa final'!$AB$62="Media",'Mapa final'!$AD$62="Moderado"),CONCATENATE("R9C",'Mapa final'!$R$62),"")</f>
        <v/>
      </c>
      <c r="Z34" s="68" t="str">
        <f>IF(AND('Mapa final'!$AB$63="Media",'Mapa final'!$AD$63="Moderado"),CONCATENATE("R9C",'Mapa final'!$R$63),"")</f>
        <v/>
      </c>
      <c r="AA34" s="69" t="str">
        <f>IF(AND('Mapa final'!$AB$70="Media",'Mapa final'!$AD$70="Moderado"),CONCATENATE("R9C",'Mapa final'!$R$70),"")</f>
        <v/>
      </c>
      <c r="AB34" s="51" t="str">
        <f ca="1">IF(AND('Mapa final'!$AB$59="Media",'Mapa final'!$AD$59="Mayor"),CONCATENATE("R9C",'Mapa final'!$R$59),"")</f>
        <v/>
      </c>
      <c r="AC34" s="52" t="str">
        <f ca="1">IF(AND('Mapa final'!$AB$60="Media",'Mapa final'!$AD$60="Mayor"),CONCATENATE("R9C",'Mapa final'!$R$60),"")</f>
        <v/>
      </c>
      <c r="AD34" s="57" t="str">
        <f>IF(AND('Mapa final'!$AB$61="Media",'Mapa final'!$AD$61="Mayor"),CONCATENATE("R9C",'Mapa final'!$R$61),"")</f>
        <v/>
      </c>
      <c r="AE34" s="57" t="str">
        <f>IF(AND('Mapa final'!$AB$62="Media",'Mapa final'!$AD$62="Mayor"),CONCATENATE("R9C",'Mapa final'!$R$62),"")</f>
        <v/>
      </c>
      <c r="AF34" s="57" t="str">
        <f>IF(AND('Mapa final'!$AB$63="Media",'Mapa final'!$AD$63="Mayor"),CONCATENATE("R9C",'Mapa final'!$R$63),"")</f>
        <v/>
      </c>
      <c r="AG34" s="53" t="str">
        <f>IF(AND('Mapa final'!$AB$70="Media",'Mapa final'!$AD$70="Mayor"),CONCATENATE("R9C",'Mapa final'!$R$70),"")</f>
        <v/>
      </c>
      <c r="AH34" s="54" t="str">
        <f ca="1">IF(AND('Mapa final'!$AB$59="Media",'Mapa final'!$AD$59="Catastrófico"),CONCATENATE("R9C",'Mapa final'!$R$59),"")</f>
        <v/>
      </c>
      <c r="AI34" s="55" t="str">
        <f ca="1">IF(AND('Mapa final'!$AB$60="Media",'Mapa final'!$AD$60="Catastrófico"),CONCATENATE("R9C",'Mapa final'!$R$60),"")</f>
        <v/>
      </c>
      <c r="AJ34" s="55" t="str">
        <f>IF(AND('Mapa final'!$AB$61="Media",'Mapa final'!$AD$61="Catastrófico"),CONCATENATE("R9C",'Mapa final'!$R$61),"")</f>
        <v/>
      </c>
      <c r="AK34" s="55" t="str">
        <f>IF(AND('Mapa final'!$AB$62="Media",'Mapa final'!$AD$62="Catastrófico"),CONCATENATE("R9C",'Mapa final'!$R$62),"")</f>
        <v/>
      </c>
      <c r="AL34" s="55" t="str">
        <f>IF(AND('Mapa final'!$AB$63="Media",'Mapa final'!$AD$63="Catastrófico"),CONCATENATE("R9C",'Mapa final'!$R$63),"")</f>
        <v/>
      </c>
      <c r="AM34" s="56" t="str">
        <f>IF(AND('Mapa final'!$AB$70="Media",'Mapa final'!$AD$70="Catastrófico"),CONCATENATE("R9C",'Mapa final'!$R$70),"")</f>
        <v/>
      </c>
      <c r="AN34" s="83"/>
      <c r="AO34" s="415"/>
      <c r="AP34" s="416"/>
      <c r="AQ34" s="416"/>
      <c r="AR34" s="416"/>
      <c r="AS34" s="416"/>
      <c r="AT34" s="41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4"/>
      <c r="C35" s="284"/>
      <c r="D35" s="285"/>
      <c r="E35" s="387"/>
      <c r="F35" s="388"/>
      <c r="G35" s="388"/>
      <c r="H35" s="388"/>
      <c r="I35" s="402"/>
      <c r="J35" s="67" t="str">
        <f ca="1">IF(AND('Mapa final'!$AB$71="Media",'Mapa final'!$AD$71="Leve"),CONCATENATE("R10C",'Mapa final'!$R$71),"")</f>
        <v/>
      </c>
      <c r="K35" s="68" t="str">
        <f ca="1">IF(AND('Mapa final'!$AB$72="Media",'Mapa final'!$AD$72="Leve"),CONCATENATE("R10C",'Mapa final'!$R$72),"")</f>
        <v/>
      </c>
      <c r="L35" s="68" t="str">
        <f ca="1">IF(AND('Mapa final'!$AB$73="Media",'Mapa final'!$AD$73="Leve"),CONCATENATE("R10C",'Mapa final'!$R$73),"")</f>
        <v/>
      </c>
      <c r="M35" s="68" t="str">
        <f>IF(AND('Mapa final'!$AB$74="Media",'Mapa final'!$AD$74="Leve"),CONCATENATE("R10C",'Mapa final'!$R$74),"")</f>
        <v/>
      </c>
      <c r="N35" s="68" t="str">
        <f>IF(AND('Mapa final'!$AB$75="Media",'Mapa final'!$AD$75="Leve"),CONCATENATE("R10C",'Mapa final'!$R$75),"")</f>
        <v/>
      </c>
      <c r="O35" s="69" t="str">
        <f>IF(AND('Mapa final'!$AB$76="Media",'Mapa final'!$AD$76="Leve"),CONCATENATE("R10C",'Mapa final'!$R$76),"")</f>
        <v/>
      </c>
      <c r="P35" s="67" t="str">
        <f ca="1">IF(AND('Mapa final'!$AB$71="Media",'Mapa final'!$AD$71="Menor"),CONCATENATE("R10C",'Mapa final'!$R$71),"")</f>
        <v/>
      </c>
      <c r="Q35" s="68" t="str">
        <f ca="1">IF(AND('Mapa final'!$AB$72="Media",'Mapa final'!$AD$72="Menor"),CONCATENATE("R10C",'Mapa final'!$R$72),"")</f>
        <v/>
      </c>
      <c r="R35" s="68" t="str">
        <f ca="1">IF(AND('Mapa final'!$AB$73="Media",'Mapa final'!$AD$73="Menor"),CONCATENATE("R10C",'Mapa final'!$R$73),"")</f>
        <v/>
      </c>
      <c r="S35" s="68" t="str">
        <f>IF(AND('Mapa final'!$AB$74="Media",'Mapa final'!$AD$74="Menor"),CONCATENATE("R10C",'Mapa final'!$R$74),"")</f>
        <v/>
      </c>
      <c r="T35" s="68" t="str">
        <f>IF(AND('Mapa final'!$AB$75="Media",'Mapa final'!$AD$75="Menor"),CONCATENATE("R10C",'Mapa final'!$R$75),"")</f>
        <v/>
      </c>
      <c r="U35" s="69" t="str">
        <f>IF(AND('Mapa final'!$AB$76="Media",'Mapa final'!$AD$76="Menor"),CONCATENATE("R10C",'Mapa final'!$R$76),"")</f>
        <v/>
      </c>
      <c r="V35" s="67" t="str">
        <f ca="1">IF(AND('Mapa final'!$AB$71="Media",'Mapa final'!$AD$71="Moderado"),CONCATENATE("R10C",'Mapa final'!$R$71),"")</f>
        <v/>
      </c>
      <c r="W35" s="68" t="str">
        <f ca="1">IF(AND('Mapa final'!$AB$72="Media",'Mapa final'!$AD$72="Moderado"),CONCATENATE("R10C",'Mapa final'!$R$72),"")</f>
        <v/>
      </c>
      <c r="X35" s="68" t="str">
        <f ca="1">IF(AND('Mapa final'!$AB$73="Media",'Mapa final'!$AD$73="Moderado"),CONCATENATE("R10C",'Mapa final'!$R$73),"")</f>
        <v/>
      </c>
      <c r="Y35" s="68" t="str">
        <f>IF(AND('Mapa final'!$AB$74="Media",'Mapa final'!$AD$74="Moderado"),CONCATENATE("R10C",'Mapa final'!$R$74),"")</f>
        <v/>
      </c>
      <c r="Z35" s="68" t="str">
        <f>IF(AND('Mapa final'!$AB$75="Media",'Mapa final'!$AD$75="Moderado"),CONCATENATE("R10C",'Mapa final'!$R$75),"")</f>
        <v/>
      </c>
      <c r="AA35" s="69" t="str">
        <f>IF(AND('Mapa final'!$AB$76="Media",'Mapa final'!$AD$76="Moderado"),CONCATENATE("R10C",'Mapa final'!$R$76),"")</f>
        <v/>
      </c>
      <c r="AB35" s="58" t="str">
        <f ca="1">IF(AND('Mapa final'!$AB$71="Media",'Mapa final'!$AD$71="Mayor"),CONCATENATE("R10C",'Mapa final'!$R$71),"")</f>
        <v/>
      </c>
      <c r="AC35" s="59" t="str">
        <f ca="1">IF(AND('Mapa final'!$AB$72="Media",'Mapa final'!$AD$72="Mayor"),CONCATENATE("R10C",'Mapa final'!$R$72),"")</f>
        <v/>
      </c>
      <c r="AD35" s="59" t="str">
        <f ca="1">IF(AND('Mapa final'!$AB$73="Media",'Mapa final'!$AD$73="Mayor"),CONCATENATE("R10C",'Mapa final'!$R$73),"")</f>
        <v/>
      </c>
      <c r="AE35" s="59" t="str">
        <f>IF(AND('Mapa final'!$AB$74="Media",'Mapa final'!$AD$74="Mayor"),CONCATENATE("R10C",'Mapa final'!$R$74),"")</f>
        <v/>
      </c>
      <c r="AF35" s="59" t="str">
        <f>IF(AND('Mapa final'!$AB$75="Media",'Mapa final'!$AD$75="Mayor"),CONCATENATE("R10C",'Mapa final'!$R$75),"")</f>
        <v/>
      </c>
      <c r="AG35" s="60" t="str">
        <f>IF(AND('Mapa final'!$AB$76="Media",'Mapa final'!$AD$76="Mayor"),CONCATENATE("R10C",'Mapa final'!$R$76),"")</f>
        <v/>
      </c>
      <c r="AH35" s="61" t="str">
        <f ca="1">IF(AND('Mapa final'!$AB$71="Media",'Mapa final'!$AD$71="Catastrófico"),CONCATENATE("R10C",'Mapa final'!$R$71),"")</f>
        <v/>
      </c>
      <c r="AI35" s="62" t="str">
        <f ca="1">IF(AND('Mapa final'!$AB$72="Media",'Mapa final'!$AD$72="Catastrófico"),CONCATENATE("R10C",'Mapa final'!$R$72),"")</f>
        <v/>
      </c>
      <c r="AJ35" s="62" t="str">
        <f ca="1">IF(AND('Mapa final'!$AB$73="Media",'Mapa final'!$AD$73="Catastrófico"),CONCATENATE("R10C",'Mapa final'!$R$73),"")</f>
        <v/>
      </c>
      <c r="AK35" s="62" t="str">
        <f>IF(AND('Mapa final'!$AB$74="Media",'Mapa final'!$AD$74="Catastrófico"),CONCATENATE("R10C",'Mapa final'!$R$74),"")</f>
        <v/>
      </c>
      <c r="AL35" s="62" t="str">
        <f>IF(AND('Mapa final'!$AB$75="Media",'Mapa final'!$AD$75="Catastrófico"),CONCATENATE("R10C",'Mapa final'!$R$75),"")</f>
        <v/>
      </c>
      <c r="AM35" s="63" t="str">
        <f>IF(AND('Mapa final'!$AB$76="Media",'Mapa final'!$AD$76="Catastrófico"),CONCATENATE("R10C",'Mapa final'!$R$76),"")</f>
        <v/>
      </c>
      <c r="AN35" s="83"/>
      <c r="AO35" s="418"/>
      <c r="AP35" s="419"/>
      <c r="AQ35" s="419"/>
      <c r="AR35" s="419"/>
      <c r="AS35" s="419"/>
      <c r="AT35" s="42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4"/>
      <c r="C36" s="284"/>
      <c r="D36" s="285"/>
      <c r="E36" s="381" t="s">
        <v>106</v>
      </c>
      <c r="F36" s="382"/>
      <c r="G36" s="382"/>
      <c r="H36" s="382"/>
      <c r="I36" s="382"/>
      <c r="J36" s="73" t="str">
        <f ca="1">IF(AND('Mapa final'!$AB$11="Baja",'Mapa final'!$AD$11="Leve"),CONCATENATE("R1C",'Mapa final'!$R$11),"")</f>
        <v/>
      </c>
      <c r="K36" s="74" t="str">
        <f ca="1">IF(AND('Mapa final'!$AB$12="Baja",'Mapa final'!$AD$12="Leve"),CONCATENATE("R1C",'Mapa final'!$R$12),"")</f>
        <v/>
      </c>
      <c r="L36" s="74" t="str">
        <f>IF(AND('Mapa final'!$AB$13="Baja",'Mapa final'!$AD$13="Leve"),CONCATENATE("R1C",'Mapa final'!$R$13),"")</f>
        <v/>
      </c>
      <c r="M36" s="74" t="str">
        <f>IF(AND('Mapa final'!$AB$14="Baja",'Mapa final'!$AD$14="Leve"),CONCATENATE("R1C",'Mapa final'!$R$14),"")</f>
        <v/>
      </c>
      <c r="N36" s="74" t="str">
        <f>IF(AND('Mapa final'!$AB$15="Baja",'Mapa final'!$AD$15="Leve"),CONCATENATE("R1C",'Mapa final'!$R$15),"")</f>
        <v/>
      </c>
      <c r="O36" s="75" t="str">
        <f>IF(AND('Mapa final'!$AB$16="Baja",'Mapa final'!$AD$16="Leve"),CONCATENATE("R1C",'Mapa final'!$R$16),"")</f>
        <v/>
      </c>
      <c r="P36" s="64" t="str">
        <f ca="1">IF(AND('Mapa final'!$AB$11="Baja",'Mapa final'!$AD$11="Menor"),CONCATENATE("R1C",'Mapa final'!$R$11),"")</f>
        <v/>
      </c>
      <c r="Q36" s="65" t="str">
        <f ca="1">IF(AND('Mapa final'!$AB$12="Baja",'Mapa final'!$AD$12="Menor"),CONCATENATE("R1C",'Mapa final'!$R$12),"")</f>
        <v/>
      </c>
      <c r="R36" s="65" t="str">
        <f>IF(AND('Mapa final'!$AB$13="Baja",'Mapa final'!$AD$13="Menor"),CONCATENATE("R1C",'Mapa final'!$R$13),"")</f>
        <v/>
      </c>
      <c r="S36" s="65" t="str">
        <f>IF(AND('Mapa final'!$AB$14="Baja",'Mapa final'!$AD$14="Menor"),CONCATENATE("R1C",'Mapa final'!$R$14),"")</f>
        <v/>
      </c>
      <c r="T36" s="65" t="str">
        <f>IF(AND('Mapa final'!$AB$15="Baja",'Mapa final'!$AD$15="Menor"),CONCATENATE("R1C",'Mapa final'!$R$15),"")</f>
        <v/>
      </c>
      <c r="U36" s="66" t="str">
        <f>IF(AND('Mapa final'!$AB$16="Baja",'Mapa final'!$AD$16="Menor"),CONCATENATE("R1C",'Mapa final'!$R$16),"")</f>
        <v/>
      </c>
      <c r="V36" s="64" t="str">
        <f ca="1">IF(AND('Mapa final'!$AB$11="Baja",'Mapa final'!$AD$11="Moderado"),CONCATENATE("R1C",'Mapa final'!$R$11),"")</f>
        <v/>
      </c>
      <c r="W36" s="65" t="str">
        <f ca="1">IF(AND('Mapa final'!$AB$12="Baja",'Mapa final'!$AD$12="Moderado"),CONCATENATE("R1C",'Mapa final'!$R$12),"")</f>
        <v/>
      </c>
      <c r="X36" s="65" t="str">
        <f>IF(AND('Mapa final'!$AB$13="Baja",'Mapa final'!$AD$13="Moderado"),CONCATENATE("R1C",'Mapa final'!$R$13),"")</f>
        <v/>
      </c>
      <c r="Y36" s="65" t="str">
        <f>IF(AND('Mapa final'!$AB$14="Baja",'Mapa final'!$AD$14="Moderado"),CONCATENATE("R1C",'Mapa final'!$R$14),"")</f>
        <v/>
      </c>
      <c r="Z36" s="65" t="str">
        <f>IF(AND('Mapa final'!$AB$15="Baja",'Mapa final'!$AD$15="Moderado"),CONCATENATE("R1C",'Mapa final'!$R$15),"")</f>
        <v/>
      </c>
      <c r="AA36" s="66" t="str">
        <f>IF(AND('Mapa final'!$AB$16="Baja",'Mapa final'!$AD$16="Moderado"),CONCATENATE("R1C",'Mapa final'!$R$16),"")</f>
        <v/>
      </c>
      <c r="AB36" s="45" t="str">
        <f ca="1">IF(AND('Mapa final'!$AB$11="Baja",'Mapa final'!$AD$11="Mayor"),CONCATENATE("R1C",'Mapa final'!$R$11),"")</f>
        <v/>
      </c>
      <c r="AC36" s="46" t="str">
        <f ca="1">IF(AND('Mapa final'!$AB$12="Baja",'Mapa final'!$AD$12="Mayor"),CONCATENATE("R1C",'Mapa final'!$R$12),"")</f>
        <v/>
      </c>
      <c r="AD36" s="46" t="str">
        <f>IF(AND('Mapa final'!$AB$13="Baja",'Mapa final'!$AD$13="Mayor"),CONCATENATE("R1C",'Mapa final'!$R$13),"")</f>
        <v/>
      </c>
      <c r="AE36" s="46" t="str">
        <f>IF(AND('Mapa final'!$AB$14="Baja",'Mapa final'!$AD$14="Mayor"),CONCATENATE("R1C",'Mapa final'!$R$14),"")</f>
        <v/>
      </c>
      <c r="AF36" s="46" t="str">
        <f>IF(AND('Mapa final'!$AB$15="Baja",'Mapa final'!$AD$15="Mayor"),CONCATENATE("R1C",'Mapa final'!$R$15),"")</f>
        <v/>
      </c>
      <c r="AG36" s="47" t="str">
        <f>IF(AND('Mapa final'!$AB$16="Baja",'Mapa final'!$AD$16="Mayor"),CONCATENATE("R1C",'Mapa final'!$R$16),"")</f>
        <v/>
      </c>
      <c r="AH36" s="48" t="str">
        <f ca="1">IF(AND('Mapa final'!$AB$11="Baja",'Mapa final'!$AD$11="Catastrófico"),CONCATENATE("R1C",'Mapa final'!$R$11),"")</f>
        <v/>
      </c>
      <c r="AI36" s="49" t="str">
        <f ca="1">IF(AND('Mapa final'!$AB$12="Baja",'Mapa final'!$AD$12="Catastrófico"),CONCATENATE("R1C",'Mapa final'!$R$12),"")</f>
        <v/>
      </c>
      <c r="AJ36" s="49" t="str">
        <f>IF(AND('Mapa final'!$AB$13="Baja",'Mapa final'!$AD$13="Catastrófico"),CONCATENATE("R1C",'Mapa final'!$R$13),"")</f>
        <v/>
      </c>
      <c r="AK36" s="49" t="str">
        <f>IF(AND('Mapa final'!$AB$14="Baja",'Mapa final'!$AD$14="Catastrófico"),CONCATENATE("R1C",'Mapa final'!$R$14),"")</f>
        <v/>
      </c>
      <c r="AL36" s="49" t="str">
        <f>IF(AND('Mapa final'!$AB$15="Baja",'Mapa final'!$AD$15="Catastrófico"),CONCATENATE("R1C",'Mapa final'!$R$15),"")</f>
        <v/>
      </c>
      <c r="AM36" s="50" t="str">
        <f>IF(AND('Mapa final'!$AB$16="Baja",'Mapa final'!$AD$16="Catastrófico"),CONCATENATE("R1C",'Mapa final'!$R$16),"")</f>
        <v/>
      </c>
      <c r="AN36" s="83"/>
      <c r="AO36" s="403" t="s">
        <v>79</v>
      </c>
      <c r="AP36" s="404"/>
      <c r="AQ36" s="404"/>
      <c r="AR36" s="404"/>
      <c r="AS36" s="404"/>
      <c r="AT36" s="40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4"/>
      <c r="C37" s="284"/>
      <c r="D37" s="285"/>
      <c r="E37" s="383"/>
      <c r="F37" s="384"/>
      <c r="G37" s="384"/>
      <c r="H37" s="384"/>
      <c r="I37" s="384"/>
      <c r="J37" s="76" t="str">
        <f ca="1">IF(AND('Mapa final'!$AB$17="Baja",'Mapa final'!$AD$17="Leve"),CONCATENATE("R2C",'Mapa final'!$R$17),"")</f>
        <v/>
      </c>
      <c r="K37" s="77" t="str">
        <f ca="1">IF(AND('Mapa final'!$AB$18="Baja",'Mapa final'!$AD$18="Leve"),CONCATENATE("R2C",'Mapa final'!$R$18),"")</f>
        <v/>
      </c>
      <c r="L37" s="77" t="str">
        <f ca="1">IF(AND('Mapa final'!$AB$19="Baja",'Mapa final'!$AD$19="Leve"),CONCATENATE("R2C",'Mapa final'!$R$19),"")</f>
        <v/>
      </c>
      <c r="M37" s="77" t="str">
        <f>IF(AND('Mapa final'!$AB$20="Baja",'Mapa final'!$AD$20="Leve"),CONCATENATE("R2C",'Mapa final'!$R$20),"")</f>
        <v/>
      </c>
      <c r="N37" s="77" t="str">
        <f>IF(AND('Mapa final'!$AB$21="Baja",'Mapa final'!$AD$21="Leve"),CONCATENATE("R2C",'Mapa final'!$R$21),"")</f>
        <v/>
      </c>
      <c r="O37" s="78" t="str">
        <f>IF(AND('Mapa final'!$AB$22="Baja",'Mapa final'!$AD$22="Leve"),CONCATENATE("R2C",'Mapa final'!$R$22),"")</f>
        <v/>
      </c>
      <c r="P37" s="67" t="str">
        <f ca="1">IF(AND('Mapa final'!$AB$17="Baja",'Mapa final'!$AD$17="Menor"),CONCATENATE("R2C",'Mapa final'!$R$17),"")</f>
        <v/>
      </c>
      <c r="Q37" s="68" t="str">
        <f ca="1">IF(AND('Mapa final'!$AB$18="Baja",'Mapa final'!$AD$18="Menor"),CONCATENATE("R2C",'Mapa final'!$R$18),"")</f>
        <v/>
      </c>
      <c r="R37" s="68" t="str">
        <f ca="1">IF(AND('Mapa final'!$AB$19="Baja",'Mapa final'!$AD$19="Menor"),CONCATENATE("R2C",'Mapa final'!$R$19),"")</f>
        <v/>
      </c>
      <c r="S37" s="68" t="str">
        <f>IF(AND('Mapa final'!$AB$20="Baja",'Mapa final'!$AD$20="Menor"),CONCATENATE("R2C",'Mapa final'!$R$20),"")</f>
        <v/>
      </c>
      <c r="T37" s="68" t="str">
        <f>IF(AND('Mapa final'!$AB$21="Baja",'Mapa final'!$AD$21="Menor"),CONCATENATE("R2C",'Mapa final'!$R$21),"")</f>
        <v/>
      </c>
      <c r="U37" s="69" t="str">
        <f>IF(AND('Mapa final'!$AB$22="Baja",'Mapa final'!$AD$22="Menor"),CONCATENATE("R2C",'Mapa final'!$R$22),"")</f>
        <v/>
      </c>
      <c r="V37" s="67" t="str">
        <f ca="1">IF(AND('Mapa final'!$AB$17="Baja",'Mapa final'!$AD$17="Moderado"),CONCATENATE("R2C",'Mapa final'!$R$17),"")</f>
        <v/>
      </c>
      <c r="W37" s="68" t="str">
        <f ca="1">IF(AND('Mapa final'!$AB$18="Baja",'Mapa final'!$AD$18="Moderado"),CONCATENATE("R2C",'Mapa final'!$R$18),"")</f>
        <v/>
      </c>
      <c r="X37" s="68" t="str">
        <f ca="1">IF(AND('Mapa final'!$AB$19="Baja",'Mapa final'!$AD$19="Moderado"),CONCATENATE("R2C",'Mapa final'!$R$19),"")</f>
        <v/>
      </c>
      <c r="Y37" s="68" t="str">
        <f>IF(AND('Mapa final'!$AB$20="Baja",'Mapa final'!$AD$20="Moderado"),CONCATENATE("R2C",'Mapa final'!$R$20),"")</f>
        <v/>
      </c>
      <c r="Z37" s="68" t="str">
        <f>IF(AND('Mapa final'!$AB$21="Baja",'Mapa final'!$AD$21="Moderado"),CONCATENATE("R2C",'Mapa final'!$R$21),"")</f>
        <v/>
      </c>
      <c r="AA37" s="69" t="str">
        <f>IF(AND('Mapa final'!$AB$22="Baja",'Mapa final'!$AD$22="Moderado"),CONCATENATE("R2C",'Mapa final'!$R$22),"")</f>
        <v/>
      </c>
      <c r="AB37" s="51" t="str">
        <f ca="1">IF(AND('Mapa final'!$AB$17="Baja",'Mapa final'!$AD$17="Mayor"),CONCATENATE("R2C",'Mapa final'!$R$17),"")</f>
        <v/>
      </c>
      <c r="AC37" s="52" t="str">
        <f ca="1">IF(AND('Mapa final'!$AB$18="Baja",'Mapa final'!$AD$18="Mayor"),CONCATENATE("R2C",'Mapa final'!$R$18),"")</f>
        <v/>
      </c>
      <c r="AD37" s="52" t="str">
        <f ca="1">IF(AND('Mapa final'!$AB$19="Baja",'Mapa final'!$AD$19="Mayor"),CONCATENATE("R2C",'Mapa final'!$R$19),"")</f>
        <v/>
      </c>
      <c r="AE37" s="52" t="str">
        <f>IF(AND('Mapa final'!$AB$20="Baja",'Mapa final'!$AD$20="Mayor"),CONCATENATE("R2C",'Mapa final'!$R$20),"")</f>
        <v/>
      </c>
      <c r="AF37" s="52" t="str">
        <f>IF(AND('Mapa final'!$AB$21="Baja",'Mapa final'!$AD$21="Mayor"),CONCATENATE("R2C",'Mapa final'!$R$21),"")</f>
        <v/>
      </c>
      <c r="AG37" s="53" t="str">
        <f>IF(AND('Mapa final'!$AB$22="Baja",'Mapa final'!$AD$22="Mayor"),CONCATENATE("R2C",'Mapa final'!$R$22),"")</f>
        <v/>
      </c>
      <c r="AH37" s="54" t="str">
        <f ca="1">IF(AND('Mapa final'!$AB$17="Baja",'Mapa final'!$AD$17="Catastrófico"),CONCATENATE("R2C",'Mapa final'!$R$17),"")</f>
        <v/>
      </c>
      <c r="AI37" s="55" t="str">
        <f ca="1">IF(AND('Mapa final'!$AB$18="Baja",'Mapa final'!$AD$18="Catastrófico"),CONCATENATE("R2C",'Mapa final'!$R$18),"")</f>
        <v/>
      </c>
      <c r="AJ37" s="55" t="str">
        <f ca="1">IF(AND('Mapa final'!$AB$19="Baja",'Mapa final'!$AD$19="Catastrófico"),CONCATENATE("R2C",'Mapa final'!$R$19),"")</f>
        <v/>
      </c>
      <c r="AK37" s="55" t="str">
        <f>IF(AND('Mapa final'!$AB$20="Baja",'Mapa final'!$AD$20="Catastrófico"),CONCATENATE("R2C",'Mapa final'!$R$20),"")</f>
        <v/>
      </c>
      <c r="AL37" s="55" t="str">
        <f>IF(AND('Mapa final'!$AB$21="Baja",'Mapa final'!$AD$21="Catastrófico"),CONCATENATE("R2C",'Mapa final'!$R$21),"")</f>
        <v/>
      </c>
      <c r="AM37" s="56" t="str">
        <f>IF(AND('Mapa final'!$AB$22="Baja",'Mapa final'!$AD$22="Catastrófico"),CONCATENATE("R2C",'Mapa final'!$R$22),"")</f>
        <v/>
      </c>
      <c r="AN37" s="83"/>
      <c r="AO37" s="406"/>
      <c r="AP37" s="407"/>
      <c r="AQ37" s="407"/>
      <c r="AR37" s="407"/>
      <c r="AS37" s="407"/>
      <c r="AT37" s="40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4"/>
      <c r="C38" s="284"/>
      <c r="D38" s="285"/>
      <c r="E38" s="385"/>
      <c r="F38" s="386"/>
      <c r="G38" s="386"/>
      <c r="H38" s="386"/>
      <c r="I38" s="384"/>
      <c r="J38" s="76" t="str">
        <f ca="1">IF(AND('Mapa final'!$AB$23="Baja",'Mapa final'!$AD$23="Leve"),CONCATENATE("R3C",'Mapa final'!$R$23),"")</f>
        <v/>
      </c>
      <c r="K38" s="77" t="str">
        <f ca="1">IF(AND('Mapa final'!$AB$24="Baja",'Mapa final'!$AD$24="Leve"),CONCATENATE("R3C",'Mapa final'!$R$24),"")</f>
        <v/>
      </c>
      <c r="L38" s="77" t="str">
        <f ca="1">IF(AND('Mapa final'!$AB$25="Baja",'Mapa final'!$AD$25="Leve"),CONCATENATE("R3C",'Mapa final'!$R$25),"")</f>
        <v/>
      </c>
      <c r="M38" s="77" t="str">
        <f ca="1">IF(AND('Mapa final'!$AB$26="Baja",'Mapa final'!$AD$26="Leve"),CONCATENATE("R3C",'Mapa final'!$R$26),"")</f>
        <v/>
      </c>
      <c r="N38" s="77" t="str">
        <f ca="1">IF(AND('Mapa final'!$AB$27="Baja",'Mapa final'!$AD$27="Leve"),CONCATENATE("R3C",'Mapa final'!$R$27),"")</f>
        <v/>
      </c>
      <c r="O38" s="78" t="str">
        <f>IF(AND('Mapa final'!$AB$28="Baja",'Mapa final'!$AD$28="Leve"),CONCATENATE("R3C",'Mapa final'!$R$28),"")</f>
        <v/>
      </c>
      <c r="P38" s="67" t="str">
        <f ca="1">IF(AND('Mapa final'!$AB$23="Baja",'Mapa final'!$AD$23="Menor"),CONCATENATE("R3C",'Mapa final'!$R$23),"")</f>
        <v/>
      </c>
      <c r="Q38" s="68" t="str">
        <f ca="1">IF(AND('Mapa final'!$AB$24="Baja",'Mapa final'!$AD$24="Menor"),CONCATENATE("R3C",'Mapa final'!$R$24),"")</f>
        <v/>
      </c>
      <c r="R38" s="68" t="str">
        <f ca="1">IF(AND('Mapa final'!$AB$25="Baja",'Mapa final'!$AD$25="Menor"),CONCATENATE("R3C",'Mapa final'!$R$25),"")</f>
        <v/>
      </c>
      <c r="S38" s="68" t="str">
        <f ca="1">IF(AND('Mapa final'!$AB$26="Baja",'Mapa final'!$AD$26="Menor"),CONCATENATE("R3C",'Mapa final'!$R$26),"")</f>
        <v/>
      </c>
      <c r="T38" s="68" t="str">
        <f ca="1">IF(AND('Mapa final'!$AB$27="Baja",'Mapa final'!$AD$27="Menor"),CONCATENATE("R3C",'Mapa final'!$R$27),"")</f>
        <v/>
      </c>
      <c r="U38" s="69" t="str">
        <f>IF(AND('Mapa final'!$AB$28="Baja",'Mapa final'!$AD$28="Menor"),CONCATENATE("R3C",'Mapa final'!$R$28),"")</f>
        <v/>
      </c>
      <c r="V38" s="67" t="str">
        <f ca="1">IF(AND('Mapa final'!$AB$23="Baja",'Mapa final'!$AD$23="Moderado"),CONCATENATE("R3C",'Mapa final'!$R$23),"")</f>
        <v/>
      </c>
      <c r="W38" s="68" t="str">
        <f ca="1">IF(AND('Mapa final'!$AB$24="Baja",'Mapa final'!$AD$24="Moderado"),CONCATENATE("R3C",'Mapa final'!$R$24),"")</f>
        <v/>
      </c>
      <c r="X38" s="68" t="str">
        <f ca="1">IF(AND('Mapa final'!$AB$25="Baja",'Mapa final'!$AD$25="Moderado"),CONCATENATE("R3C",'Mapa final'!$R$25),"")</f>
        <v/>
      </c>
      <c r="Y38" s="68" t="str">
        <f ca="1">IF(AND('Mapa final'!$AB$26="Baja",'Mapa final'!$AD$26="Moderado"),CONCATENATE("R3C",'Mapa final'!$R$26),"")</f>
        <v/>
      </c>
      <c r="Z38" s="68" t="str">
        <f ca="1">IF(AND('Mapa final'!$AB$27="Baja",'Mapa final'!$AD$27="Moderado"),CONCATENATE("R3C",'Mapa final'!$R$27),"")</f>
        <v/>
      </c>
      <c r="AA38" s="69" t="str">
        <f>IF(AND('Mapa final'!$AB$28="Baja",'Mapa final'!$AD$28="Moderado"),CONCATENATE("R3C",'Mapa final'!$R$28),"")</f>
        <v/>
      </c>
      <c r="AB38" s="51" t="str">
        <f ca="1">IF(AND('Mapa final'!$AB$23="Baja",'Mapa final'!$AD$23="Mayor"),CONCATENATE("R3C",'Mapa final'!$R$23),"")</f>
        <v/>
      </c>
      <c r="AC38" s="52" t="str">
        <f ca="1">IF(AND('Mapa final'!$AB$24="Baja",'Mapa final'!$AD$24="Mayor"),CONCATENATE("R3C",'Mapa final'!$R$24),"")</f>
        <v/>
      </c>
      <c r="AD38" s="52" t="str">
        <f ca="1">IF(AND('Mapa final'!$AB$25="Baja",'Mapa final'!$AD$25="Mayor"),CONCATENATE("R3C",'Mapa final'!$R$25),"")</f>
        <v/>
      </c>
      <c r="AE38" s="52" t="str">
        <f ca="1">IF(AND('Mapa final'!$AB$26="Baja",'Mapa final'!$AD$26="Mayor"),CONCATENATE("R3C",'Mapa final'!$R$26),"")</f>
        <v/>
      </c>
      <c r="AF38" s="52" t="str">
        <f ca="1">IF(AND('Mapa final'!$AB$27="Baja",'Mapa final'!$AD$27="Mayor"),CONCATENATE("R3C",'Mapa final'!$R$27),"")</f>
        <v/>
      </c>
      <c r="AG38" s="53" t="str">
        <f>IF(AND('Mapa final'!$AB$28="Baja",'Mapa final'!$AD$28="Mayor"),CONCATENATE("R3C",'Mapa final'!$R$28),"")</f>
        <v/>
      </c>
      <c r="AH38" s="54" t="str">
        <f ca="1">IF(AND('Mapa final'!$AB$23="Baja",'Mapa final'!$AD$23="Catastrófico"),CONCATENATE("R3C",'Mapa final'!$R$23),"")</f>
        <v/>
      </c>
      <c r="AI38" s="55" t="str">
        <f ca="1">IF(AND('Mapa final'!$AB$24="Baja",'Mapa final'!$AD$24="Catastrófico"),CONCATENATE("R3C",'Mapa final'!$R$24),"")</f>
        <v/>
      </c>
      <c r="AJ38" s="55" t="str">
        <f ca="1">IF(AND('Mapa final'!$AB$25="Baja",'Mapa final'!$AD$25="Catastrófico"),CONCATENATE("R3C",'Mapa final'!$R$25),"")</f>
        <v/>
      </c>
      <c r="AK38" s="55" t="str">
        <f ca="1">IF(AND('Mapa final'!$AB$26="Baja",'Mapa final'!$AD$26="Catastrófico"),CONCATENATE("R3C",'Mapa final'!$R$26),"")</f>
        <v/>
      </c>
      <c r="AL38" s="55" t="str">
        <f ca="1">IF(AND('Mapa final'!$AB$27="Baja",'Mapa final'!$AD$27="Catastrófico"),CONCATENATE("R3C",'Mapa final'!$R$27),"")</f>
        <v/>
      </c>
      <c r="AM38" s="56" t="str">
        <f>IF(AND('Mapa final'!$AB$28="Baja",'Mapa final'!$AD$28="Catastrófico"),CONCATENATE("R3C",'Mapa final'!$R$28),"")</f>
        <v/>
      </c>
      <c r="AN38" s="83"/>
      <c r="AO38" s="406"/>
      <c r="AP38" s="407"/>
      <c r="AQ38" s="407"/>
      <c r="AR38" s="407"/>
      <c r="AS38" s="407"/>
      <c r="AT38" s="40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4"/>
      <c r="C39" s="284"/>
      <c r="D39" s="285"/>
      <c r="E39" s="385"/>
      <c r="F39" s="386"/>
      <c r="G39" s="386"/>
      <c r="H39" s="386"/>
      <c r="I39" s="384"/>
      <c r="J39" s="76" t="str">
        <f ca="1">IF(AND('Mapa final'!$AB$29="Baja",'Mapa final'!$AD$29="Leve"),CONCATENATE("R4C",'Mapa final'!$R$29),"")</f>
        <v/>
      </c>
      <c r="K39" s="77" t="str">
        <f ca="1">IF(AND('Mapa final'!$AB$30="Baja",'Mapa final'!$AD$30="Leve"),CONCATENATE("R4C",'Mapa final'!$R$30),"")</f>
        <v/>
      </c>
      <c r="L39" s="77" t="str">
        <f ca="1">IF(AND('Mapa final'!$AB$31="Baja",'Mapa final'!$AD$31="Leve"),CONCATENATE("R4C",'Mapa final'!$R$31),"")</f>
        <v/>
      </c>
      <c r="M39" s="77" t="str">
        <f ca="1">IF(AND('Mapa final'!$AB$32="Baja",'Mapa final'!$AD$32="Leve"),CONCATENATE("R4C",'Mapa final'!$R$32),"")</f>
        <v/>
      </c>
      <c r="N39" s="77" t="str">
        <f>IF(AND('Mapa final'!$AB$33="Baja",'Mapa final'!$AD$33="Leve"),CONCATENATE("R4C",'Mapa final'!$R$33),"")</f>
        <v/>
      </c>
      <c r="O39" s="78" t="str">
        <f>IF(AND('Mapa final'!$AB$34="Baja",'Mapa final'!$AD$34="Leve"),CONCATENATE("R4C",'Mapa final'!$R$34),"")</f>
        <v/>
      </c>
      <c r="P39" s="67" t="str">
        <f ca="1">IF(AND('Mapa final'!$AB$29="Baja",'Mapa final'!$AD$29="Menor"),CONCATENATE("R4C",'Mapa final'!$R$29),"")</f>
        <v/>
      </c>
      <c r="Q39" s="68" t="str">
        <f ca="1">IF(AND('Mapa final'!$AB$30="Baja",'Mapa final'!$AD$30="Menor"),CONCATENATE("R4C",'Mapa final'!$R$30),"")</f>
        <v/>
      </c>
      <c r="R39" s="68" t="str">
        <f ca="1">IF(AND('Mapa final'!$AB$31="Baja",'Mapa final'!$AD$31="Menor"),CONCATENATE("R4C",'Mapa final'!$R$31),"")</f>
        <v/>
      </c>
      <c r="S39" s="68" t="str">
        <f ca="1">IF(AND('Mapa final'!$AB$32="Baja",'Mapa final'!$AD$32="Menor"),CONCATENATE("R4C",'Mapa final'!$R$32),"")</f>
        <v/>
      </c>
      <c r="T39" s="68" t="str">
        <f>IF(AND('Mapa final'!$AB$33="Baja",'Mapa final'!$AD$33="Menor"),CONCATENATE("R4C",'Mapa final'!$R$33),"")</f>
        <v/>
      </c>
      <c r="U39" s="69" t="str">
        <f>IF(AND('Mapa final'!$AB$34="Baja",'Mapa final'!$AD$34="Menor"),CONCATENATE("R4C",'Mapa final'!$R$34),"")</f>
        <v/>
      </c>
      <c r="V39" s="67" t="str">
        <f ca="1">IF(AND('Mapa final'!$AB$29="Baja",'Mapa final'!$AD$29="Moderado"),CONCATENATE("R4C",'Mapa final'!$R$29),"")</f>
        <v/>
      </c>
      <c r="W39" s="68" t="str">
        <f ca="1">IF(AND('Mapa final'!$AB$30="Baja",'Mapa final'!$AD$30="Moderado"),CONCATENATE("R4C",'Mapa final'!$R$30),"")</f>
        <v/>
      </c>
      <c r="X39" s="68" t="str">
        <f ca="1">IF(AND('Mapa final'!$AB$31="Baja",'Mapa final'!$AD$31="Moderado"),CONCATENATE("R4C",'Mapa final'!$R$31),"")</f>
        <v/>
      </c>
      <c r="Y39" s="68" t="str">
        <f ca="1">IF(AND('Mapa final'!$AB$32="Baja",'Mapa final'!$AD$32="Moderado"),CONCATENATE("R4C",'Mapa final'!$R$32),"")</f>
        <v/>
      </c>
      <c r="Z39" s="68" t="str">
        <f>IF(AND('Mapa final'!$AB$33="Baja",'Mapa final'!$AD$33="Moderado"),CONCATENATE("R4C",'Mapa final'!$R$33),"")</f>
        <v/>
      </c>
      <c r="AA39" s="69" t="str">
        <f>IF(AND('Mapa final'!$AB$34="Baja",'Mapa final'!$AD$34="Moderado"),CONCATENATE("R4C",'Mapa final'!$R$34),"")</f>
        <v/>
      </c>
      <c r="AB39" s="51" t="str">
        <f ca="1">IF(AND('Mapa final'!$AB$29="Baja",'Mapa final'!$AD$29="Mayor"),CONCATENATE("R4C",'Mapa final'!$R$29),"")</f>
        <v/>
      </c>
      <c r="AC39" s="52" t="str">
        <f ca="1">IF(AND('Mapa final'!$AB$30="Baja",'Mapa final'!$AD$30="Mayor"),CONCATENATE("R4C",'Mapa final'!$R$30),"")</f>
        <v/>
      </c>
      <c r="AD39" s="52" t="str">
        <f ca="1">IF(AND('Mapa final'!$AB$31="Baja",'Mapa final'!$AD$31="Mayor"),CONCATENATE("R4C",'Mapa final'!$R$31),"")</f>
        <v/>
      </c>
      <c r="AE39" s="52" t="str">
        <f ca="1">IF(AND('Mapa final'!$AB$32="Baja",'Mapa final'!$AD$32="Mayor"),CONCATENATE("R4C",'Mapa final'!$R$32),"")</f>
        <v/>
      </c>
      <c r="AF39" s="52" t="str">
        <f>IF(AND('Mapa final'!$AB$33="Baja",'Mapa final'!$AD$33="Mayor"),CONCATENATE("R4C",'Mapa final'!$R$33),"")</f>
        <v/>
      </c>
      <c r="AG39" s="53" t="str">
        <f>IF(AND('Mapa final'!$AB$34="Baja",'Mapa final'!$AD$34="Mayor"),CONCATENATE("R4C",'Mapa final'!$R$34),"")</f>
        <v/>
      </c>
      <c r="AH39" s="54" t="str">
        <f ca="1">IF(AND('Mapa final'!$AB$29="Baja",'Mapa final'!$AD$29="Catastrófico"),CONCATENATE("R4C",'Mapa final'!$R$29),"")</f>
        <v/>
      </c>
      <c r="AI39" s="55" t="str">
        <f ca="1">IF(AND('Mapa final'!$AB$30="Baja",'Mapa final'!$AD$30="Catastrófico"),CONCATENATE("R4C",'Mapa final'!$R$30),"")</f>
        <v/>
      </c>
      <c r="AJ39" s="55" t="str">
        <f ca="1">IF(AND('Mapa final'!$AB$31="Baja",'Mapa final'!$AD$31="Catastrófico"),CONCATENATE("R4C",'Mapa final'!$R$31),"")</f>
        <v/>
      </c>
      <c r="AK39" s="55" t="str">
        <f ca="1">IF(AND('Mapa final'!$AB$32="Baja",'Mapa final'!$AD$32="Catastrófico"),CONCATENATE("R4C",'Mapa final'!$R$32),"")</f>
        <v/>
      </c>
      <c r="AL39" s="55" t="str">
        <f>IF(AND('Mapa final'!$AB$33="Baja",'Mapa final'!$AD$33="Catastrófico"),CONCATENATE("R4C",'Mapa final'!$R$33),"")</f>
        <v/>
      </c>
      <c r="AM39" s="56" t="str">
        <f>IF(AND('Mapa final'!$AB$34="Baja",'Mapa final'!$AD$34="Catastrófico"),CONCATENATE("R4C",'Mapa final'!$R$34),"")</f>
        <v/>
      </c>
      <c r="AN39" s="83"/>
      <c r="AO39" s="406"/>
      <c r="AP39" s="407"/>
      <c r="AQ39" s="407"/>
      <c r="AR39" s="407"/>
      <c r="AS39" s="407"/>
      <c r="AT39" s="40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4"/>
      <c r="C40" s="284"/>
      <c r="D40" s="285"/>
      <c r="E40" s="385"/>
      <c r="F40" s="386"/>
      <c r="G40" s="386"/>
      <c r="H40" s="386"/>
      <c r="I40" s="384"/>
      <c r="J40" s="76" t="str">
        <f ca="1">IF(AND('Mapa final'!$AB$41="Baja",'Mapa final'!$AD$41="Leve"),CONCATENATE("R5C",'Mapa final'!$R$41),"")</f>
        <v/>
      </c>
      <c r="K40" s="77" t="str">
        <f ca="1">IF(AND('Mapa final'!$AB$42="Baja",'Mapa final'!$AD$42="Leve"),CONCATENATE("R5C",'Mapa final'!$R$42),"")</f>
        <v/>
      </c>
      <c r="L40" s="77" t="str">
        <f ca="1">IF(AND('Mapa final'!$AB$43="Baja",'Mapa final'!$AD$43="Leve"),CONCATENATE("R5C",'Mapa final'!$R$43),"")</f>
        <v/>
      </c>
      <c r="M40" s="77" t="str">
        <f ca="1">IF(AND('Mapa final'!$AB$44="Baja",'Mapa final'!$AD$44="Leve"),CONCATENATE("R5C",'Mapa final'!$R$44),"")</f>
        <v/>
      </c>
      <c r="N40" s="77" t="str">
        <f>IF(AND('Mapa final'!$AB$45="Baja",'Mapa final'!$AD$45="Leve"),CONCATENATE("R5C",'Mapa final'!$R$45),"")</f>
        <v/>
      </c>
      <c r="O40" s="78" t="str">
        <f>IF(AND('Mapa final'!$AB$46="Baja",'Mapa final'!$AD$46="Leve"),CONCATENATE("R5C",'Mapa final'!$R$46),"")</f>
        <v/>
      </c>
      <c r="P40" s="67" t="str">
        <f ca="1">IF(AND('Mapa final'!$AB$41="Baja",'Mapa final'!$AD$41="Menor"),CONCATENATE("R5C",'Mapa final'!$R$41),"")</f>
        <v/>
      </c>
      <c r="Q40" s="68" t="str">
        <f ca="1">IF(AND('Mapa final'!$AB$42="Baja",'Mapa final'!$AD$42="Menor"),CONCATENATE("R5C",'Mapa final'!$R$42),"")</f>
        <v/>
      </c>
      <c r="R40" s="68" t="str">
        <f ca="1">IF(AND('Mapa final'!$AB$43="Baja",'Mapa final'!$AD$43="Menor"),CONCATENATE("R5C",'Mapa final'!$R$43),"")</f>
        <v/>
      </c>
      <c r="S40" s="68" t="str">
        <f ca="1">IF(AND('Mapa final'!$AB$44="Baja",'Mapa final'!$AD$44="Menor"),CONCATENATE("R5C",'Mapa final'!$R$44),"")</f>
        <v/>
      </c>
      <c r="T40" s="68" t="str">
        <f>IF(AND('Mapa final'!$AB$45="Baja",'Mapa final'!$AD$45="Menor"),CONCATENATE("R5C",'Mapa final'!$R$45),"")</f>
        <v/>
      </c>
      <c r="U40" s="69" t="str">
        <f>IF(AND('Mapa final'!$AB$46="Baja",'Mapa final'!$AD$46="Menor"),CONCATENATE("R5C",'Mapa final'!$R$46),"")</f>
        <v/>
      </c>
      <c r="V40" s="67" t="str">
        <f ca="1">IF(AND('Mapa final'!$AB$41="Baja",'Mapa final'!$AD$41="Moderado"),CONCATENATE("R5C",'Mapa final'!$R$41),"")</f>
        <v/>
      </c>
      <c r="W40" s="68" t="str">
        <f ca="1">IF(AND('Mapa final'!$AB$42="Baja",'Mapa final'!$AD$42="Moderado"),CONCATENATE("R5C",'Mapa final'!$R$42),"")</f>
        <v/>
      </c>
      <c r="X40" s="68" t="str">
        <f ca="1">IF(AND('Mapa final'!$AB$43="Baja",'Mapa final'!$AD$43="Moderado"),CONCATENATE("R5C",'Mapa final'!$R$43),"")</f>
        <v>R5C3</v>
      </c>
      <c r="Y40" s="68" t="str">
        <f ca="1">IF(AND('Mapa final'!$AB$44="Baja",'Mapa final'!$AD$44="Moderado"),CONCATENATE("R5C",'Mapa final'!$R$44),"")</f>
        <v/>
      </c>
      <c r="Z40" s="68" t="str">
        <f>IF(AND('Mapa final'!$AB$45="Baja",'Mapa final'!$AD$45="Moderado"),CONCATENATE("R5C",'Mapa final'!$R$45),"")</f>
        <v/>
      </c>
      <c r="AA40" s="69" t="str">
        <f>IF(AND('Mapa final'!$AB$46="Baja",'Mapa final'!$AD$46="Moderado"),CONCATENATE("R5C",'Mapa final'!$R$46),"")</f>
        <v/>
      </c>
      <c r="AB40" s="51" t="str">
        <f ca="1">IF(AND('Mapa final'!$AB$41="Baja",'Mapa final'!$AD$41="Mayor"),CONCATENATE("R5C",'Mapa final'!$R$41),"")</f>
        <v/>
      </c>
      <c r="AC40" s="52" t="str">
        <f ca="1">IF(AND('Mapa final'!$AB$42="Baja",'Mapa final'!$AD$42="Mayor"),CONCATENATE("R5C",'Mapa final'!$R$42),"")</f>
        <v/>
      </c>
      <c r="AD40" s="57" t="str">
        <f ca="1">IF(AND('Mapa final'!$AB$43="Baja",'Mapa final'!$AD$43="Mayor"),CONCATENATE("R5C",'Mapa final'!$R$43),"")</f>
        <v/>
      </c>
      <c r="AE40" s="57" t="str">
        <f ca="1">IF(AND('Mapa final'!$AB$44="Baja",'Mapa final'!$AD$44="Mayor"),CONCATENATE("R5C",'Mapa final'!$R$44),"")</f>
        <v/>
      </c>
      <c r="AF40" s="57" t="str">
        <f>IF(AND('Mapa final'!$AB$45="Baja",'Mapa final'!$AD$45="Mayor"),CONCATENATE("R5C",'Mapa final'!$R$45),"")</f>
        <v/>
      </c>
      <c r="AG40" s="53" t="str">
        <f>IF(AND('Mapa final'!$AB$46="Baja",'Mapa final'!$AD$46="Mayor"),CONCATENATE("R5C",'Mapa final'!$R$46),"")</f>
        <v/>
      </c>
      <c r="AH40" s="54" t="str">
        <f ca="1">IF(AND('Mapa final'!$AB$41="Baja",'Mapa final'!$AD$41="Catastrófico"),CONCATENATE("R5C",'Mapa final'!$R$41),"")</f>
        <v/>
      </c>
      <c r="AI40" s="55" t="str">
        <f ca="1">IF(AND('Mapa final'!$AB$42="Baja",'Mapa final'!$AD$42="Catastrófico"),CONCATENATE("R5C",'Mapa final'!$R$42),"")</f>
        <v/>
      </c>
      <c r="AJ40" s="55" t="str">
        <f ca="1">IF(AND('Mapa final'!$AB$43="Baja",'Mapa final'!$AD$43="Catastrófico"),CONCATENATE("R5C",'Mapa final'!$R$43),"")</f>
        <v/>
      </c>
      <c r="AK40" s="55" t="str">
        <f ca="1">IF(AND('Mapa final'!$AB$44="Baja",'Mapa final'!$AD$44="Catastrófico"),CONCATENATE("R5C",'Mapa final'!$R$44),"")</f>
        <v/>
      </c>
      <c r="AL40" s="55" t="str">
        <f>IF(AND('Mapa final'!$AB$45="Baja",'Mapa final'!$AD$45="Catastrófico"),CONCATENATE("R5C",'Mapa final'!$R$45),"")</f>
        <v/>
      </c>
      <c r="AM40" s="56" t="str">
        <f>IF(AND('Mapa final'!$AB$46="Baja",'Mapa final'!$AD$46="Catastrófico"),CONCATENATE("R5C",'Mapa final'!$R$46),"")</f>
        <v/>
      </c>
      <c r="AN40" s="83"/>
      <c r="AO40" s="406"/>
      <c r="AP40" s="407"/>
      <c r="AQ40" s="407"/>
      <c r="AR40" s="407"/>
      <c r="AS40" s="407"/>
      <c r="AT40" s="40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4"/>
      <c r="C41" s="284"/>
      <c r="D41" s="285"/>
      <c r="E41" s="385"/>
      <c r="F41" s="386"/>
      <c r="G41" s="386"/>
      <c r="H41" s="386"/>
      <c r="I41" s="384"/>
      <c r="J41" s="76" t="e">
        <f>IF(AND('Mapa final'!#REF!="Baja",'Mapa final'!#REF!="Leve"),CONCATENATE("R6C",'Mapa final'!#REF!),"")</f>
        <v>#REF!</v>
      </c>
      <c r="K41" s="77" t="e">
        <f>IF(AND('Mapa final'!#REF!="Baja",'Mapa final'!#REF!="Leve"),CONCATENATE("R6C",'Mapa final'!#REF!),"")</f>
        <v>#REF!</v>
      </c>
      <c r="L41" s="77" t="e">
        <f>IF(AND('Mapa final'!#REF!="Baja",'Mapa final'!#REF!="Leve"),CONCATENATE("R6C",'Mapa final'!#REF!),"")</f>
        <v>#REF!</v>
      </c>
      <c r="M41" s="77" t="e">
        <f>IF(AND('Mapa final'!#REF!="Baja",'Mapa final'!#REF!="Leve"),CONCATENATE("R6C",'Mapa final'!#REF!),"")</f>
        <v>#REF!</v>
      </c>
      <c r="N41" s="77" t="e">
        <f>IF(AND('Mapa final'!#REF!="Baja",'Mapa final'!#REF!="Leve"),CONCATENATE("R6C",'Mapa final'!#REF!),"")</f>
        <v>#REF!</v>
      </c>
      <c r="O41" s="78" t="e">
        <f>IF(AND('Mapa final'!#REF!="Baja",'Mapa final'!#REF!="Leve"),CONCATENATE("R6C",'Mapa final'!#REF!),"")</f>
        <v>#REF!</v>
      </c>
      <c r="P41" s="67" t="e">
        <f>IF(AND('Mapa final'!#REF!="Baja",'Mapa final'!#REF!="Menor"),CONCATENATE("R6C",'Mapa final'!#REF!),"")</f>
        <v>#REF!</v>
      </c>
      <c r="Q41" s="68" t="e">
        <f>IF(AND('Mapa final'!#REF!="Baja",'Mapa final'!#REF!="Menor"),CONCATENATE("R6C",'Mapa final'!#REF!),"")</f>
        <v>#REF!</v>
      </c>
      <c r="R41" s="68" t="e">
        <f>IF(AND('Mapa final'!#REF!="Baja",'Mapa final'!#REF!="Menor"),CONCATENATE("R6C",'Mapa final'!#REF!),"")</f>
        <v>#REF!</v>
      </c>
      <c r="S41" s="68" t="e">
        <f>IF(AND('Mapa final'!#REF!="Baja",'Mapa final'!#REF!="Menor"),CONCATENATE("R6C",'Mapa final'!#REF!),"")</f>
        <v>#REF!</v>
      </c>
      <c r="T41" s="68" t="e">
        <f>IF(AND('Mapa final'!#REF!="Baja",'Mapa final'!#REF!="Menor"),CONCATENATE("R6C",'Mapa final'!#REF!),"")</f>
        <v>#REF!</v>
      </c>
      <c r="U41" s="69" t="e">
        <f>IF(AND('Mapa final'!#REF!="Baja",'Mapa final'!#REF!="Menor"),CONCATENATE("R6C",'Mapa final'!#REF!),"")</f>
        <v>#REF!</v>
      </c>
      <c r="V41" s="67" t="e">
        <f>IF(AND('Mapa final'!#REF!="Baja",'Mapa final'!#REF!="Moderado"),CONCATENATE("R6C",'Mapa final'!#REF!),"")</f>
        <v>#REF!</v>
      </c>
      <c r="W41" s="68" t="e">
        <f>IF(AND('Mapa final'!#REF!="Baja",'Mapa final'!#REF!="Moderado"),CONCATENATE("R6C",'Mapa final'!#REF!),"")</f>
        <v>#REF!</v>
      </c>
      <c r="X41" s="68" t="e">
        <f>IF(AND('Mapa final'!#REF!="Baja",'Mapa final'!#REF!="Moderado"),CONCATENATE("R6C",'Mapa final'!#REF!),"")</f>
        <v>#REF!</v>
      </c>
      <c r="Y41" s="68" t="e">
        <f>IF(AND('Mapa final'!#REF!="Baja",'Mapa final'!#REF!="Moderado"),CONCATENATE("R6C",'Mapa final'!#REF!),"")</f>
        <v>#REF!</v>
      </c>
      <c r="Z41" s="68" t="e">
        <f>IF(AND('Mapa final'!#REF!="Baja",'Mapa final'!#REF!="Moderado"),CONCATENATE("R6C",'Mapa final'!#REF!),"")</f>
        <v>#REF!</v>
      </c>
      <c r="AA41" s="69" t="e">
        <f>IF(AND('Mapa final'!#REF!="Baja",'Mapa final'!#REF!="Moderado"),CONCATENATE("R6C",'Mapa final'!#REF!),"")</f>
        <v>#REF!</v>
      </c>
      <c r="AB41" s="51" t="e">
        <f>IF(AND('Mapa final'!#REF!="Baja",'Mapa final'!#REF!="Mayor"),CONCATENATE("R6C",'Mapa final'!#REF!),"")</f>
        <v>#REF!</v>
      </c>
      <c r="AC41" s="52" t="e">
        <f>IF(AND('Mapa final'!#REF!="Baja",'Mapa final'!#REF!="Mayor"),CONCATENATE("R6C",'Mapa final'!#REF!),"")</f>
        <v>#REF!</v>
      </c>
      <c r="AD41" s="57" t="e">
        <f>IF(AND('Mapa final'!#REF!="Baja",'Mapa final'!#REF!="Mayor"),CONCATENATE("R6C",'Mapa final'!#REF!),"")</f>
        <v>#REF!</v>
      </c>
      <c r="AE41" s="57" t="e">
        <f>IF(AND('Mapa final'!#REF!="Baja",'Mapa final'!#REF!="Mayor"),CONCATENATE("R6C",'Mapa final'!#REF!),"")</f>
        <v>#REF!</v>
      </c>
      <c r="AF41" s="57" t="e">
        <f>IF(AND('Mapa final'!#REF!="Baja",'Mapa final'!#REF!="Mayor"),CONCATENATE("R6C",'Mapa final'!#REF!),"")</f>
        <v>#REF!</v>
      </c>
      <c r="AG41" s="53" t="e">
        <f>IF(AND('Mapa final'!#REF!="Baja",'Mapa final'!#REF!="Mayor"),CONCATENATE("R6C",'Mapa final'!#REF!),"")</f>
        <v>#REF!</v>
      </c>
      <c r="AH41" s="54" t="e">
        <f>IF(AND('Mapa final'!#REF!="Baja",'Mapa final'!#REF!="Catastrófico"),CONCATENATE("R6C",'Mapa final'!#REF!),"")</f>
        <v>#REF!</v>
      </c>
      <c r="AI41" s="55" t="e">
        <f>IF(AND('Mapa final'!#REF!="Baja",'Mapa final'!#REF!="Catastrófico"),CONCATENATE("R6C",'Mapa final'!#REF!),"")</f>
        <v>#REF!</v>
      </c>
      <c r="AJ41" s="55" t="e">
        <f>IF(AND('Mapa final'!#REF!="Baja",'Mapa final'!#REF!="Catastrófico"),CONCATENATE("R6C",'Mapa final'!#REF!),"")</f>
        <v>#REF!</v>
      </c>
      <c r="AK41" s="55" t="e">
        <f>IF(AND('Mapa final'!#REF!="Baja",'Mapa final'!#REF!="Catastrófico"),CONCATENATE("R6C",'Mapa final'!#REF!),"")</f>
        <v>#REF!</v>
      </c>
      <c r="AL41" s="55" t="e">
        <f>IF(AND('Mapa final'!#REF!="Baja",'Mapa final'!#REF!="Catastrófico"),CONCATENATE("R6C",'Mapa final'!#REF!),"")</f>
        <v>#REF!</v>
      </c>
      <c r="AM41" s="56" t="e">
        <f>IF(AND('Mapa final'!#REF!="Baja",'Mapa final'!#REF!="Catastrófico"),CONCATENATE("R6C",'Mapa final'!#REF!),"")</f>
        <v>#REF!</v>
      </c>
      <c r="AN41" s="83"/>
      <c r="AO41" s="406"/>
      <c r="AP41" s="407"/>
      <c r="AQ41" s="407"/>
      <c r="AR41" s="407"/>
      <c r="AS41" s="407"/>
      <c r="AT41" s="40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4"/>
      <c r="C42" s="284"/>
      <c r="D42" s="285"/>
      <c r="E42" s="385"/>
      <c r="F42" s="386"/>
      <c r="G42" s="386"/>
      <c r="H42" s="386"/>
      <c r="I42" s="384"/>
      <c r="J42" s="76" t="e">
        <f>IF(AND('Mapa final'!#REF!="Baja",'Mapa final'!#REF!="Leve"),CONCATENATE("R7C",'Mapa final'!#REF!),"")</f>
        <v>#REF!</v>
      </c>
      <c r="K42" s="77" t="e">
        <f>IF(AND('Mapa final'!#REF!="Baja",'Mapa final'!#REF!="Leve"),CONCATENATE("R7C",'Mapa final'!#REF!),"")</f>
        <v>#REF!</v>
      </c>
      <c r="L42" s="77" t="e">
        <f>IF(AND('Mapa final'!#REF!="Baja",'Mapa final'!#REF!="Leve"),CONCATENATE("R7C",'Mapa final'!#REF!),"")</f>
        <v>#REF!</v>
      </c>
      <c r="M42" s="77" t="e">
        <f>IF(AND('Mapa final'!#REF!="Baja",'Mapa final'!#REF!="Leve"),CONCATENATE("R7C",'Mapa final'!#REF!),"")</f>
        <v>#REF!</v>
      </c>
      <c r="N42" s="77" t="e">
        <f>IF(AND('Mapa final'!#REF!="Baja",'Mapa final'!#REF!="Leve"),CONCATENATE("R7C",'Mapa final'!#REF!),"")</f>
        <v>#REF!</v>
      </c>
      <c r="O42" s="78" t="e">
        <f>IF(AND('Mapa final'!#REF!="Baja",'Mapa final'!#REF!="Leve"),CONCATENATE("R7C",'Mapa final'!#REF!),"")</f>
        <v>#REF!</v>
      </c>
      <c r="P42" s="67" t="e">
        <f>IF(AND('Mapa final'!#REF!="Baja",'Mapa final'!#REF!="Menor"),CONCATENATE("R7C",'Mapa final'!#REF!),"")</f>
        <v>#REF!</v>
      </c>
      <c r="Q42" s="68" t="e">
        <f>IF(AND('Mapa final'!#REF!="Baja",'Mapa final'!#REF!="Menor"),CONCATENATE("R7C",'Mapa final'!#REF!),"")</f>
        <v>#REF!</v>
      </c>
      <c r="R42" s="68" t="e">
        <f>IF(AND('Mapa final'!#REF!="Baja",'Mapa final'!#REF!="Menor"),CONCATENATE("R7C",'Mapa final'!#REF!),"")</f>
        <v>#REF!</v>
      </c>
      <c r="S42" s="68" t="e">
        <f>IF(AND('Mapa final'!#REF!="Baja",'Mapa final'!#REF!="Menor"),CONCATENATE("R7C",'Mapa final'!#REF!),"")</f>
        <v>#REF!</v>
      </c>
      <c r="T42" s="68" t="e">
        <f>IF(AND('Mapa final'!#REF!="Baja",'Mapa final'!#REF!="Menor"),CONCATENATE("R7C",'Mapa final'!#REF!),"")</f>
        <v>#REF!</v>
      </c>
      <c r="U42" s="69" t="e">
        <f>IF(AND('Mapa final'!#REF!="Baja",'Mapa final'!#REF!="Menor"),CONCATENATE("R7C",'Mapa final'!#REF!),"")</f>
        <v>#REF!</v>
      </c>
      <c r="V42" s="67" t="e">
        <f>IF(AND('Mapa final'!#REF!="Baja",'Mapa final'!#REF!="Moderado"),CONCATENATE("R7C",'Mapa final'!#REF!),"")</f>
        <v>#REF!</v>
      </c>
      <c r="W42" s="68" t="e">
        <f>IF(AND('Mapa final'!#REF!="Baja",'Mapa final'!#REF!="Moderado"),CONCATENATE("R7C",'Mapa final'!#REF!),"")</f>
        <v>#REF!</v>
      </c>
      <c r="X42" s="68" t="e">
        <f>IF(AND('Mapa final'!#REF!="Baja",'Mapa final'!#REF!="Moderado"),CONCATENATE("R7C",'Mapa final'!#REF!),"")</f>
        <v>#REF!</v>
      </c>
      <c r="Y42" s="68" t="e">
        <f>IF(AND('Mapa final'!#REF!="Baja",'Mapa final'!#REF!="Moderado"),CONCATENATE("R7C",'Mapa final'!#REF!),"")</f>
        <v>#REF!</v>
      </c>
      <c r="Z42" s="68" t="e">
        <f>IF(AND('Mapa final'!#REF!="Baja",'Mapa final'!#REF!="Moderado"),CONCATENATE("R7C",'Mapa final'!#REF!),"")</f>
        <v>#REF!</v>
      </c>
      <c r="AA42" s="69" t="e">
        <f>IF(AND('Mapa final'!#REF!="Baja",'Mapa final'!#REF!="Moderado"),CONCATENATE("R7C",'Mapa final'!#REF!),"")</f>
        <v>#REF!</v>
      </c>
      <c r="AB42" s="51" t="e">
        <f>IF(AND('Mapa final'!#REF!="Baja",'Mapa final'!#REF!="Mayor"),CONCATENATE("R7C",'Mapa final'!#REF!),"")</f>
        <v>#REF!</v>
      </c>
      <c r="AC42" s="52" t="e">
        <f>IF(AND('Mapa final'!#REF!="Baja",'Mapa final'!#REF!="Mayor"),CONCATENATE("R7C",'Mapa final'!#REF!),"")</f>
        <v>#REF!</v>
      </c>
      <c r="AD42" s="57" t="e">
        <f>IF(AND('Mapa final'!#REF!="Baja",'Mapa final'!#REF!="Mayor"),CONCATENATE("R7C",'Mapa final'!#REF!),"")</f>
        <v>#REF!</v>
      </c>
      <c r="AE42" s="57" t="e">
        <f>IF(AND('Mapa final'!#REF!="Baja",'Mapa final'!#REF!="Mayor"),CONCATENATE("R7C",'Mapa final'!#REF!),"")</f>
        <v>#REF!</v>
      </c>
      <c r="AF42" s="57" t="e">
        <f>IF(AND('Mapa final'!#REF!="Baja",'Mapa final'!#REF!="Mayor"),CONCATENATE("R7C",'Mapa final'!#REF!),"")</f>
        <v>#REF!</v>
      </c>
      <c r="AG42" s="53" t="e">
        <f>IF(AND('Mapa final'!#REF!="Baja",'Mapa final'!#REF!="Mayor"),CONCATENATE("R7C",'Mapa final'!#REF!),"")</f>
        <v>#REF!</v>
      </c>
      <c r="AH42" s="54" t="e">
        <f>IF(AND('Mapa final'!#REF!="Baja",'Mapa final'!#REF!="Catastrófico"),CONCATENATE("R7C",'Mapa final'!#REF!),"")</f>
        <v>#REF!</v>
      </c>
      <c r="AI42" s="55" t="e">
        <f>IF(AND('Mapa final'!#REF!="Baja",'Mapa final'!#REF!="Catastrófico"),CONCATENATE("R7C",'Mapa final'!#REF!),"")</f>
        <v>#REF!</v>
      </c>
      <c r="AJ42" s="55" t="e">
        <f>IF(AND('Mapa final'!#REF!="Baja",'Mapa final'!#REF!="Catastrófico"),CONCATENATE("R7C",'Mapa final'!#REF!),"")</f>
        <v>#REF!</v>
      </c>
      <c r="AK42" s="55" t="e">
        <f>IF(AND('Mapa final'!#REF!="Baja",'Mapa final'!#REF!="Catastrófico"),CONCATENATE("R7C",'Mapa final'!#REF!),"")</f>
        <v>#REF!</v>
      </c>
      <c r="AL42" s="55" t="e">
        <f>IF(AND('Mapa final'!#REF!="Baja",'Mapa final'!#REF!="Catastrófico"),CONCATENATE("R7C",'Mapa final'!#REF!),"")</f>
        <v>#REF!</v>
      </c>
      <c r="AM42" s="56" t="e">
        <f>IF(AND('Mapa final'!#REF!="Baja",'Mapa final'!#REF!="Catastrófico"),CONCATENATE("R7C",'Mapa final'!#REF!),"")</f>
        <v>#REF!</v>
      </c>
      <c r="AN42" s="83"/>
      <c r="AO42" s="406"/>
      <c r="AP42" s="407"/>
      <c r="AQ42" s="407"/>
      <c r="AR42" s="407"/>
      <c r="AS42" s="407"/>
      <c r="AT42" s="40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4"/>
      <c r="C43" s="284"/>
      <c r="D43" s="285"/>
      <c r="E43" s="385"/>
      <c r="F43" s="386"/>
      <c r="G43" s="386"/>
      <c r="H43" s="386"/>
      <c r="I43" s="384"/>
      <c r="J43" s="76" t="str">
        <f ca="1">IF(AND('Mapa final'!$AB$47="Baja",'Mapa final'!$AD$47="Leve"),CONCATENATE("R8C",'Mapa final'!$R$47),"")</f>
        <v/>
      </c>
      <c r="K43" s="77" t="str">
        <f>IF(AND('Mapa final'!$AB$48="Baja",'Mapa final'!$AD$48="Leve"),CONCATENATE("R8C",'Mapa final'!$R$48),"")</f>
        <v/>
      </c>
      <c r="L43" s="77" t="str">
        <f>IF(AND('Mapa final'!$AB$49="Baja",'Mapa final'!$AD$49="Leve"),CONCATENATE("R8C",'Mapa final'!$R$49),"")</f>
        <v/>
      </c>
      <c r="M43" s="77" t="str">
        <f>IF(AND('Mapa final'!$AB$50="Baja",'Mapa final'!$AD$50="Leve"),CONCATENATE("R8C",'Mapa final'!$R$50),"")</f>
        <v/>
      </c>
      <c r="N43" s="77" t="str">
        <f>IF(AND('Mapa final'!$AB$51="Baja",'Mapa final'!$AD$51="Leve"),CONCATENATE("R8C",'Mapa final'!$R$51),"")</f>
        <v/>
      </c>
      <c r="O43" s="78" t="str">
        <f>IF(AND('Mapa final'!$AB$52="Baja",'Mapa final'!$AD$52="Leve"),CONCATENATE("R8C",'Mapa final'!$R$52),"")</f>
        <v/>
      </c>
      <c r="P43" s="67" t="str">
        <f ca="1">IF(AND('Mapa final'!$AB$47="Baja",'Mapa final'!$AD$47="Menor"),CONCATENATE("R8C",'Mapa final'!$R$47),"")</f>
        <v/>
      </c>
      <c r="Q43" s="68" t="str">
        <f>IF(AND('Mapa final'!$AB$48="Baja",'Mapa final'!$AD$48="Menor"),CONCATENATE("R8C",'Mapa final'!$R$48),"")</f>
        <v/>
      </c>
      <c r="R43" s="68" t="str">
        <f>IF(AND('Mapa final'!$AB$49="Baja",'Mapa final'!$AD$49="Menor"),CONCATENATE("R8C",'Mapa final'!$R$49),"")</f>
        <v/>
      </c>
      <c r="S43" s="68" t="str">
        <f>IF(AND('Mapa final'!$AB$50="Baja",'Mapa final'!$AD$50="Menor"),CONCATENATE("R8C",'Mapa final'!$R$50),"")</f>
        <v/>
      </c>
      <c r="T43" s="68" t="str">
        <f>IF(AND('Mapa final'!$AB$51="Baja",'Mapa final'!$AD$51="Menor"),CONCATENATE("R8C",'Mapa final'!$R$51),"")</f>
        <v/>
      </c>
      <c r="U43" s="69" t="str">
        <f>IF(AND('Mapa final'!$AB$52="Baja",'Mapa final'!$AD$52="Menor"),CONCATENATE("R8C",'Mapa final'!$R$52),"")</f>
        <v/>
      </c>
      <c r="V43" s="67" t="str">
        <f ca="1">IF(AND('Mapa final'!$AB$47="Baja",'Mapa final'!$AD$47="Moderado"),CONCATENATE("R8C",'Mapa final'!$R$47),"")</f>
        <v/>
      </c>
      <c r="W43" s="68" t="str">
        <f>IF(AND('Mapa final'!$AB$48="Baja",'Mapa final'!$AD$48="Moderado"),CONCATENATE("R8C",'Mapa final'!$R$48),"")</f>
        <v/>
      </c>
      <c r="X43" s="68" t="str">
        <f>IF(AND('Mapa final'!$AB$49="Baja",'Mapa final'!$AD$49="Moderado"),CONCATENATE("R8C",'Mapa final'!$R$49),"")</f>
        <v/>
      </c>
      <c r="Y43" s="68" t="str">
        <f>IF(AND('Mapa final'!$AB$50="Baja",'Mapa final'!$AD$50="Moderado"),CONCATENATE("R8C",'Mapa final'!$R$50),"")</f>
        <v/>
      </c>
      <c r="Z43" s="68" t="str">
        <f>IF(AND('Mapa final'!$AB$51="Baja",'Mapa final'!$AD$51="Moderado"),CONCATENATE("R8C",'Mapa final'!$R$51),"")</f>
        <v/>
      </c>
      <c r="AA43" s="69" t="str">
        <f>IF(AND('Mapa final'!$AB$52="Baja",'Mapa final'!$AD$52="Moderado"),CONCATENATE("R8C",'Mapa final'!$R$52),"")</f>
        <v/>
      </c>
      <c r="AB43" s="51" t="str">
        <f ca="1">IF(AND('Mapa final'!$AB$47="Baja",'Mapa final'!$AD$47="Mayor"),CONCATENATE("R8C",'Mapa final'!$R$47),"")</f>
        <v/>
      </c>
      <c r="AC43" s="52" t="str">
        <f>IF(AND('Mapa final'!$AB$48="Baja",'Mapa final'!$AD$48="Mayor"),CONCATENATE("R8C",'Mapa final'!$R$48),"")</f>
        <v/>
      </c>
      <c r="AD43" s="57" t="str">
        <f>IF(AND('Mapa final'!$AB$49="Baja",'Mapa final'!$AD$49="Mayor"),CONCATENATE("R8C",'Mapa final'!$R$49),"")</f>
        <v/>
      </c>
      <c r="AE43" s="57" t="str">
        <f>IF(AND('Mapa final'!$AB$50="Baja",'Mapa final'!$AD$50="Mayor"),CONCATENATE("R8C",'Mapa final'!$R$50),"")</f>
        <v/>
      </c>
      <c r="AF43" s="57" t="str">
        <f>IF(AND('Mapa final'!$AB$51="Baja",'Mapa final'!$AD$51="Mayor"),CONCATENATE("R8C",'Mapa final'!$R$51),"")</f>
        <v/>
      </c>
      <c r="AG43" s="53" t="str">
        <f>IF(AND('Mapa final'!$AB$52="Baja",'Mapa final'!$AD$52="Mayor"),CONCATENATE("R8C",'Mapa final'!$R$52),"")</f>
        <v/>
      </c>
      <c r="AH43" s="54" t="str">
        <f ca="1">IF(AND('Mapa final'!$AB$47="Baja",'Mapa final'!$AD$47="Catastrófico"),CONCATENATE("R8C",'Mapa final'!$R$47),"")</f>
        <v/>
      </c>
      <c r="AI43" s="55" t="str">
        <f>IF(AND('Mapa final'!$AB$48="Baja",'Mapa final'!$AD$48="Catastrófico"),CONCATENATE("R8C",'Mapa final'!$R$48),"")</f>
        <v/>
      </c>
      <c r="AJ43" s="55" t="str">
        <f>IF(AND('Mapa final'!$AB$49="Baja",'Mapa final'!$AD$49="Catastrófico"),CONCATENATE("R8C",'Mapa final'!$R$49),"")</f>
        <v/>
      </c>
      <c r="AK43" s="55" t="str">
        <f>IF(AND('Mapa final'!$AB$50="Baja",'Mapa final'!$AD$50="Catastrófico"),CONCATENATE("R8C",'Mapa final'!$R$50),"")</f>
        <v/>
      </c>
      <c r="AL43" s="55" t="str">
        <f>IF(AND('Mapa final'!$AB$51="Baja",'Mapa final'!$AD$51="Catastrófico"),CONCATENATE("R8C",'Mapa final'!$R$51),"")</f>
        <v/>
      </c>
      <c r="AM43" s="56" t="str">
        <f>IF(AND('Mapa final'!$AB$52="Baja",'Mapa final'!$AD$52="Catastrófico"),CONCATENATE("R8C",'Mapa final'!$R$52),"")</f>
        <v/>
      </c>
      <c r="AN43" s="83"/>
      <c r="AO43" s="406"/>
      <c r="AP43" s="407"/>
      <c r="AQ43" s="407"/>
      <c r="AR43" s="407"/>
      <c r="AS43" s="407"/>
      <c r="AT43" s="40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4"/>
      <c r="C44" s="284"/>
      <c r="D44" s="285"/>
      <c r="E44" s="385"/>
      <c r="F44" s="386"/>
      <c r="G44" s="386"/>
      <c r="H44" s="386"/>
      <c r="I44" s="384"/>
      <c r="J44" s="76" t="str">
        <f ca="1">IF(AND('Mapa final'!$AB$59="Baja",'Mapa final'!$AD$59="Leve"),CONCATENATE("R9C",'Mapa final'!$R$59),"")</f>
        <v/>
      </c>
      <c r="K44" s="77" t="str">
        <f ca="1">IF(AND('Mapa final'!$AB$60="Baja",'Mapa final'!$AD$60="Leve"),CONCATENATE("R9C",'Mapa final'!$R$60),"")</f>
        <v/>
      </c>
      <c r="L44" s="77" t="str">
        <f>IF(AND('Mapa final'!$AB$61="Baja",'Mapa final'!$AD$61="Leve"),CONCATENATE("R9C",'Mapa final'!$R$61),"")</f>
        <v/>
      </c>
      <c r="M44" s="77" t="str">
        <f>IF(AND('Mapa final'!$AB$62="Baja",'Mapa final'!$AD$62="Leve"),CONCATENATE("R9C",'Mapa final'!$R$62),"")</f>
        <v/>
      </c>
      <c r="N44" s="77" t="str">
        <f>IF(AND('Mapa final'!$AB$63="Baja",'Mapa final'!$AD$63="Leve"),CONCATENATE("R9C",'Mapa final'!$R$63),"")</f>
        <v/>
      </c>
      <c r="O44" s="78" t="str">
        <f>IF(AND('Mapa final'!$AB$70="Baja",'Mapa final'!$AD$70="Leve"),CONCATENATE("R9C",'Mapa final'!$R$70),"")</f>
        <v/>
      </c>
      <c r="P44" s="67" t="str">
        <f ca="1">IF(AND('Mapa final'!$AB$59="Baja",'Mapa final'!$AD$59="Menor"),CONCATENATE("R9C",'Mapa final'!$R$59),"")</f>
        <v/>
      </c>
      <c r="Q44" s="68" t="str">
        <f ca="1">IF(AND('Mapa final'!$AB$60="Baja",'Mapa final'!$AD$60="Menor"),CONCATENATE("R9C",'Mapa final'!$R$60),"")</f>
        <v>R9C2</v>
      </c>
      <c r="R44" s="68" t="str">
        <f>IF(AND('Mapa final'!$AB$61="Baja",'Mapa final'!$AD$61="Menor"),CONCATENATE("R9C",'Mapa final'!$R$61),"")</f>
        <v/>
      </c>
      <c r="S44" s="68" t="str">
        <f>IF(AND('Mapa final'!$AB$62="Baja",'Mapa final'!$AD$62="Menor"),CONCATENATE("R9C",'Mapa final'!$R$62),"")</f>
        <v/>
      </c>
      <c r="T44" s="68" t="str">
        <f>IF(AND('Mapa final'!$AB$63="Baja",'Mapa final'!$AD$63="Menor"),CONCATENATE("R9C",'Mapa final'!$R$63),"")</f>
        <v/>
      </c>
      <c r="U44" s="69" t="str">
        <f>IF(AND('Mapa final'!$AB$70="Baja",'Mapa final'!$AD$70="Menor"),CONCATENATE("R9C",'Mapa final'!$R$70),"")</f>
        <v/>
      </c>
      <c r="V44" s="67" t="str">
        <f ca="1">IF(AND('Mapa final'!$AB$59="Baja",'Mapa final'!$AD$59="Moderado"),CONCATENATE("R9C",'Mapa final'!$R$59),"")</f>
        <v/>
      </c>
      <c r="W44" s="68" t="str">
        <f ca="1">IF(AND('Mapa final'!$AB$60="Baja",'Mapa final'!$AD$60="Moderado"),CONCATENATE("R9C",'Mapa final'!$R$60),"")</f>
        <v/>
      </c>
      <c r="X44" s="68" t="str">
        <f>IF(AND('Mapa final'!$AB$61="Baja",'Mapa final'!$AD$61="Moderado"),CONCATENATE("R9C",'Mapa final'!$R$61),"")</f>
        <v/>
      </c>
      <c r="Y44" s="68" t="str">
        <f>IF(AND('Mapa final'!$AB$62="Baja",'Mapa final'!$AD$62="Moderado"),CONCATENATE("R9C",'Mapa final'!$R$62),"")</f>
        <v/>
      </c>
      <c r="Z44" s="68" t="str">
        <f>IF(AND('Mapa final'!$AB$63="Baja",'Mapa final'!$AD$63="Moderado"),CONCATENATE("R9C",'Mapa final'!$R$63),"")</f>
        <v/>
      </c>
      <c r="AA44" s="69" t="str">
        <f>IF(AND('Mapa final'!$AB$70="Baja",'Mapa final'!$AD$70="Moderado"),CONCATENATE("R9C",'Mapa final'!$R$70),"")</f>
        <v/>
      </c>
      <c r="AB44" s="51" t="str">
        <f ca="1">IF(AND('Mapa final'!$AB$59="Baja",'Mapa final'!$AD$59="Mayor"),CONCATENATE("R9C",'Mapa final'!$R$59),"")</f>
        <v/>
      </c>
      <c r="AC44" s="52" t="str">
        <f ca="1">IF(AND('Mapa final'!$AB$60="Baja",'Mapa final'!$AD$60="Mayor"),CONCATENATE("R9C",'Mapa final'!$R$60),"")</f>
        <v/>
      </c>
      <c r="AD44" s="57" t="str">
        <f>IF(AND('Mapa final'!$AB$61="Baja",'Mapa final'!$AD$61="Mayor"),CONCATENATE("R9C",'Mapa final'!$R$61),"")</f>
        <v/>
      </c>
      <c r="AE44" s="57" t="str">
        <f>IF(AND('Mapa final'!$AB$62="Baja",'Mapa final'!$AD$62="Mayor"),CONCATENATE("R9C",'Mapa final'!$R$62),"")</f>
        <v/>
      </c>
      <c r="AF44" s="57" t="str">
        <f>IF(AND('Mapa final'!$AB$63="Baja",'Mapa final'!$AD$63="Mayor"),CONCATENATE("R9C",'Mapa final'!$R$63),"")</f>
        <v/>
      </c>
      <c r="AG44" s="53" t="str">
        <f>IF(AND('Mapa final'!$AB$70="Baja",'Mapa final'!$AD$70="Mayor"),CONCATENATE("R9C",'Mapa final'!$R$70),"")</f>
        <v/>
      </c>
      <c r="AH44" s="54" t="str">
        <f ca="1">IF(AND('Mapa final'!$AB$59="Baja",'Mapa final'!$AD$59="Catastrófico"),CONCATENATE("R9C",'Mapa final'!$R$59),"")</f>
        <v/>
      </c>
      <c r="AI44" s="55" t="str">
        <f ca="1">IF(AND('Mapa final'!$AB$60="Baja",'Mapa final'!$AD$60="Catastrófico"),CONCATENATE("R9C",'Mapa final'!$R$60),"")</f>
        <v/>
      </c>
      <c r="AJ44" s="55" t="str">
        <f>IF(AND('Mapa final'!$AB$61="Baja",'Mapa final'!$AD$61="Catastrófico"),CONCATENATE("R9C",'Mapa final'!$R$61),"")</f>
        <v/>
      </c>
      <c r="AK44" s="55" t="str">
        <f>IF(AND('Mapa final'!$AB$62="Baja",'Mapa final'!$AD$62="Catastrófico"),CONCATENATE("R9C",'Mapa final'!$R$62),"")</f>
        <v/>
      </c>
      <c r="AL44" s="55" t="str">
        <f>IF(AND('Mapa final'!$AB$63="Baja",'Mapa final'!$AD$63="Catastrófico"),CONCATENATE("R9C",'Mapa final'!$R$63),"")</f>
        <v/>
      </c>
      <c r="AM44" s="56" t="str">
        <f>IF(AND('Mapa final'!$AB$70="Baja",'Mapa final'!$AD$70="Catastrófico"),CONCATENATE("R9C",'Mapa final'!$R$70),"")</f>
        <v/>
      </c>
      <c r="AN44" s="83"/>
      <c r="AO44" s="406"/>
      <c r="AP44" s="407"/>
      <c r="AQ44" s="407"/>
      <c r="AR44" s="407"/>
      <c r="AS44" s="407"/>
      <c r="AT44" s="40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4"/>
      <c r="C45" s="284"/>
      <c r="D45" s="285"/>
      <c r="E45" s="387"/>
      <c r="F45" s="388"/>
      <c r="G45" s="388"/>
      <c r="H45" s="388"/>
      <c r="I45" s="388"/>
      <c r="J45" s="79" t="str">
        <f ca="1">IF(AND('Mapa final'!$AB$71="Baja",'Mapa final'!$AD$71="Leve"),CONCATENATE("R10C",'Mapa final'!$R$71),"")</f>
        <v/>
      </c>
      <c r="K45" s="80" t="str">
        <f ca="1">IF(AND('Mapa final'!$AB$72="Baja",'Mapa final'!$AD$72="Leve"),CONCATENATE("R10C",'Mapa final'!$R$72),"")</f>
        <v/>
      </c>
      <c r="L45" s="80" t="str">
        <f ca="1">IF(AND('Mapa final'!$AB$73="Baja",'Mapa final'!$AD$73="Leve"),CONCATENATE("R10C",'Mapa final'!$R$73),"")</f>
        <v/>
      </c>
      <c r="M45" s="80" t="str">
        <f>IF(AND('Mapa final'!$AB$74="Baja",'Mapa final'!$AD$74="Leve"),CONCATENATE("R10C",'Mapa final'!$R$74),"")</f>
        <v/>
      </c>
      <c r="N45" s="80" t="str">
        <f>IF(AND('Mapa final'!$AB$75="Baja",'Mapa final'!$AD$75="Leve"),CONCATENATE("R10C",'Mapa final'!$R$75),"")</f>
        <v/>
      </c>
      <c r="O45" s="81" t="str">
        <f>IF(AND('Mapa final'!$AB$76="Baja",'Mapa final'!$AD$76="Leve"),CONCATENATE("R10C",'Mapa final'!$R$76),"")</f>
        <v/>
      </c>
      <c r="P45" s="67" t="str">
        <f ca="1">IF(AND('Mapa final'!$AB$71="Baja",'Mapa final'!$AD$71="Menor"),CONCATENATE("R10C",'Mapa final'!$R$71),"")</f>
        <v>R10C1</v>
      </c>
      <c r="Q45" s="68" t="str">
        <f ca="1">IF(AND('Mapa final'!$AB$72="Baja",'Mapa final'!$AD$72="Menor"),CONCATENATE("R10C",'Mapa final'!$R$72),"")</f>
        <v>R10C2</v>
      </c>
      <c r="R45" s="68" t="str">
        <f ca="1">IF(AND('Mapa final'!$AB$73="Baja",'Mapa final'!$AD$73="Menor"),CONCATENATE("R10C",'Mapa final'!$R$73),"")</f>
        <v/>
      </c>
      <c r="S45" s="68" t="str">
        <f>IF(AND('Mapa final'!$AB$74="Baja",'Mapa final'!$AD$74="Menor"),CONCATENATE("R10C",'Mapa final'!$R$74),"")</f>
        <v/>
      </c>
      <c r="T45" s="68" t="str">
        <f>IF(AND('Mapa final'!$AB$75="Baja",'Mapa final'!$AD$75="Menor"),CONCATENATE("R10C",'Mapa final'!$R$75),"")</f>
        <v/>
      </c>
      <c r="U45" s="69" t="str">
        <f>IF(AND('Mapa final'!$AB$76="Baja",'Mapa final'!$AD$76="Menor"),CONCATENATE("R10C",'Mapa final'!$R$76),"")</f>
        <v/>
      </c>
      <c r="V45" s="70" t="str">
        <f ca="1">IF(AND('Mapa final'!$AB$71="Baja",'Mapa final'!$AD$71="Moderado"),CONCATENATE("R10C",'Mapa final'!$R$71),"")</f>
        <v/>
      </c>
      <c r="W45" s="71" t="str">
        <f ca="1">IF(AND('Mapa final'!$AB$72="Baja",'Mapa final'!$AD$72="Moderado"),CONCATENATE("R10C",'Mapa final'!$R$72),"")</f>
        <v/>
      </c>
      <c r="X45" s="71" t="str">
        <f ca="1">IF(AND('Mapa final'!$AB$73="Baja",'Mapa final'!$AD$73="Moderado"),CONCATENATE("R10C",'Mapa final'!$R$73),"")</f>
        <v/>
      </c>
      <c r="Y45" s="71" t="str">
        <f>IF(AND('Mapa final'!$AB$74="Baja",'Mapa final'!$AD$74="Moderado"),CONCATENATE("R10C",'Mapa final'!$R$74),"")</f>
        <v/>
      </c>
      <c r="Z45" s="71" t="str">
        <f>IF(AND('Mapa final'!$AB$75="Baja",'Mapa final'!$AD$75="Moderado"),CONCATENATE("R10C",'Mapa final'!$R$75),"")</f>
        <v/>
      </c>
      <c r="AA45" s="72" t="str">
        <f>IF(AND('Mapa final'!$AB$76="Baja",'Mapa final'!$AD$76="Moderado"),CONCATENATE("R10C",'Mapa final'!$R$76),"")</f>
        <v/>
      </c>
      <c r="AB45" s="58" t="str">
        <f ca="1">IF(AND('Mapa final'!$AB$71="Baja",'Mapa final'!$AD$71="Mayor"),CONCATENATE("R10C",'Mapa final'!$R$71),"")</f>
        <v/>
      </c>
      <c r="AC45" s="59" t="str">
        <f ca="1">IF(AND('Mapa final'!$AB$72="Baja",'Mapa final'!$AD$72="Mayor"),CONCATENATE("R10C",'Mapa final'!$R$72),"")</f>
        <v/>
      </c>
      <c r="AD45" s="59" t="str">
        <f ca="1">IF(AND('Mapa final'!$AB$73="Baja",'Mapa final'!$AD$73="Mayor"),CONCATENATE("R10C",'Mapa final'!$R$73),"")</f>
        <v/>
      </c>
      <c r="AE45" s="59" t="str">
        <f>IF(AND('Mapa final'!$AB$74="Baja",'Mapa final'!$AD$74="Mayor"),CONCATENATE("R10C",'Mapa final'!$R$74),"")</f>
        <v/>
      </c>
      <c r="AF45" s="59" t="str">
        <f>IF(AND('Mapa final'!$AB$75="Baja",'Mapa final'!$AD$75="Mayor"),CONCATENATE("R10C",'Mapa final'!$R$75),"")</f>
        <v/>
      </c>
      <c r="AG45" s="60" t="str">
        <f>IF(AND('Mapa final'!$AB$76="Baja",'Mapa final'!$AD$76="Mayor"),CONCATENATE("R10C",'Mapa final'!$R$76),"")</f>
        <v/>
      </c>
      <c r="AH45" s="61" t="str">
        <f ca="1">IF(AND('Mapa final'!$AB$71="Baja",'Mapa final'!$AD$71="Catastrófico"),CONCATENATE("R10C",'Mapa final'!$R$71),"")</f>
        <v/>
      </c>
      <c r="AI45" s="62" t="str">
        <f ca="1">IF(AND('Mapa final'!$AB$72="Baja",'Mapa final'!$AD$72="Catastrófico"),CONCATENATE("R10C",'Mapa final'!$R$72),"")</f>
        <v/>
      </c>
      <c r="AJ45" s="62" t="str">
        <f ca="1">IF(AND('Mapa final'!$AB$73="Baja",'Mapa final'!$AD$73="Catastrófico"),CONCATENATE("R10C",'Mapa final'!$R$73),"")</f>
        <v/>
      </c>
      <c r="AK45" s="62" t="str">
        <f>IF(AND('Mapa final'!$AB$74="Baja",'Mapa final'!$AD$74="Catastrófico"),CONCATENATE("R10C",'Mapa final'!$R$74),"")</f>
        <v/>
      </c>
      <c r="AL45" s="62" t="str">
        <f>IF(AND('Mapa final'!$AB$75="Baja",'Mapa final'!$AD$75="Catastrófico"),CONCATENATE("R10C",'Mapa final'!$R$75),"")</f>
        <v/>
      </c>
      <c r="AM45" s="63" t="str">
        <f>IF(AND('Mapa final'!$AB$76="Baja",'Mapa final'!$AD$76="Catastrófico"),CONCATENATE("R10C",'Mapa final'!$R$76),"")</f>
        <v/>
      </c>
      <c r="AN45" s="83"/>
      <c r="AO45" s="409"/>
      <c r="AP45" s="410"/>
      <c r="AQ45" s="410"/>
      <c r="AR45" s="410"/>
      <c r="AS45" s="410"/>
      <c r="AT45" s="411"/>
    </row>
    <row r="46" spans="1:80" ht="46.5" customHeight="1" x14ac:dyDescent="0.35">
      <c r="A46" s="83"/>
      <c r="B46" s="284"/>
      <c r="C46" s="284"/>
      <c r="D46" s="285"/>
      <c r="E46" s="381" t="s">
        <v>105</v>
      </c>
      <c r="F46" s="382"/>
      <c r="G46" s="382"/>
      <c r="H46" s="382"/>
      <c r="I46" s="400"/>
      <c r="J46" s="73" t="str">
        <f ca="1">IF(AND('Mapa final'!$AB$11="Muy Baja",'Mapa final'!$AD$11="Leve"),CONCATENATE("R1C",'Mapa final'!$R$11),"")</f>
        <v>R1C1</v>
      </c>
      <c r="K46" s="74" t="str">
        <f ca="1">IF(AND('Mapa final'!$AB$12="Muy Baja",'Mapa final'!$AD$12="Leve"),CONCATENATE("R1C",'Mapa final'!$R$12),"")</f>
        <v>R1C2</v>
      </c>
      <c r="L46" s="74" t="str">
        <f>IF(AND('Mapa final'!$AB$13="Muy Baja",'Mapa final'!$AD$13="Leve"),CONCATENATE("R1C",'Mapa final'!$R$13),"")</f>
        <v/>
      </c>
      <c r="M46" s="74" t="str">
        <f>IF(AND('Mapa final'!$AB$14="Muy Baja",'Mapa final'!$AD$14="Leve"),CONCATENATE("R1C",'Mapa final'!$R$14),"")</f>
        <v/>
      </c>
      <c r="N46" s="74" t="str">
        <f>IF(AND('Mapa final'!$AB$15="Muy Baja",'Mapa final'!$AD$15="Leve"),CONCATENATE("R1C",'Mapa final'!$R$15),"")</f>
        <v/>
      </c>
      <c r="O46" s="75" t="str">
        <f>IF(AND('Mapa final'!$AB$16="Muy Baja",'Mapa final'!$AD$16="Leve"),CONCATENATE("R1C",'Mapa final'!$R$16),"")</f>
        <v/>
      </c>
      <c r="P46" s="73" t="str">
        <f ca="1">IF(AND('Mapa final'!$AB$11="Muy Baja",'Mapa final'!$AD$11="Menor"),CONCATENATE("R1C",'Mapa final'!$R$11),"")</f>
        <v/>
      </c>
      <c r="Q46" s="74" t="str">
        <f ca="1">IF(AND('Mapa final'!$AB$12="Muy Baja",'Mapa final'!$AD$12="Menor"),CONCATENATE("R1C",'Mapa final'!$R$12),"")</f>
        <v/>
      </c>
      <c r="R46" s="74" t="str">
        <f>IF(AND('Mapa final'!$AB$13="Muy Baja",'Mapa final'!$AD$13="Menor"),CONCATENATE("R1C",'Mapa final'!$R$13),"")</f>
        <v/>
      </c>
      <c r="S46" s="74" t="str">
        <f>IF(AND('Mapa final'!$AB$14="Muy Baja",'Mapa final'!$AD$14="Menor"),CONCATENATE("R1C",'Mapa final'!$R$14),"")</f>
        <v/>
      </c>
      <c r="T46" s="74" t="str">
        <f>IF(AND('Mapa final'!$AB$15="Muy Baja",'Mapa final'!$AD$15="Menor"),CONCATENATE("R1C",'Mapa final'!$R$15),"")</f>
        <v/>
      </c>
      <c r="U46" s="75" t="str">
        <f>IF(AND('Mapa final'!$AB$16="Muy Baja",'Mapa final'!$AD$16="Menor"),CONCATENATE("R1C",'Mapa final'!$R$16),"")</f>
        <v/>
      </c>
      <c r="V46" s="64" t="str">
        <f ca="1">IF(AND('Mapa final'!$AB$11="Muy Baja",'Mapa final'!$AD$11="Moderado"),CONCATENATE("R1C",'Mapa final'!$R$11),"")</f>
        <v/>
      </c>
      <c r="W46" s="82" t="str">
        <f ca="1">IF(AND('Mapa final'!$AB$12="Muy Baja",'Mapa final'!$AD$12="Moderado"),CONCATENATE("R1C",'Mapa final'!$R$12),"")</f>
        <v/>
      </c>
      <c r="X46" s="65" t="str">
        <f>IF(AND('Mapa final'!$AB$13="Muy Baja",'Mapa final'!$AD$13="Moderado"),CONCATENATE("R1C",'Mapa final'!$R$13),"")</f>
        <v/>
      </c>
      <c r="Y46" s="65" t="str">
        <f>IF(AND('Mapa final'!$AB$14="Muy Baja",'Mapa final'!$AD$14="Moderado"),CONCATENATE("R1C",'Mapa final'!$R$14),"")</f>
        <v/>
      </c>
      <c r="Z46" s="65" t="str">
        <f>IF(AND('Mapa final'!$AB$15="Muy Baja",'Mapa final'!$AD$15="Moderado"),CONCATENATE("R1C",'Mapa final'!$R$15),"")</f>
        <v/>
      </c>
      <c r="AA46" s="66" t="str">
        <f>IF(AND('Mapa final'!$AB$16="Muy Baja",'Mapa final'!$AD$16="Moderado"),CONCATENATE("R1C",'Mapa final'!$R$16),"")</f>
        <v/>
      </c>
      <c r="AB46" s="45" t="str">
        <f ca="1">IF(AND('Mapa final'!$AB$11="Muy Baja",'Mapa final'!$AD$11="Mayor"),CONCATENATE("R1C",'Mapa final'!$R$11),"")</f>
        <v/>
      </c>
      <c r="AC46" s="46" t="str">
        <f ca="1">IF(AND('Mapa final'!$AB$12="Muy Baja",'Mapa final'!$AD$12="Mayor"),CONCATENATE("R1C",'Mapa final'!$R$12),"")</f>
        <v/>
      </c>
      <c r="AD46" s="46" t="str">
        <f>IF(AND('Mapa final'!$AB$13="Muy Baja",'Mapa final'!$AD$13="Mayor"),CONCATENATE("R1C",'Mapa final'!$R$13),"")</f>
        <v/>
      </c>
      <c r="AE46" s="46" t="str">
        <f>IF(AND('Mapa final'!$AB$14="Muy Baja",'Mapa final'!$AD$14="Mayor"),CONCATENATE("R1C",'Mapa final'!$R$14),"")</f>
        <v/>
      </c>
      <c r="AF46" s="46" t="str">
        <f>IF(AND('Mapa final'!$AB$15="Muy Baja",'Mapa final'!$AD$15="Mayor"),CONCATENATE("R1C",'Mapa final'!$R$15),"")</f>
        <v/>
      </c>
      <c r="AG46" s="47" t="str">
        <f>IF(AND('Mapa final'!$AB$16="Muy Baja",'Mapa final'!$AD$16="Mayor"),CONCATENATE("R1C",'Mapa final'!$R$16),"")</f>
        <v/>
      </c>
      <c r="AH46" s="48" t="str">
        <f ca="1">IF(AND('Mapa final'!$AB$11="Muy Baja",'Mapa final'!$AD$11="Catastrófico"),CONCATENATE("R1C",'Mapa final'!$R$11),"")</f>
        <v/>
      </c>
      <c r="AI46" s="49" t="str">
        <f ca="1">IF(AND('Mapa final'!$AB$12="Muy Baja",'Mapa final'!$AD$12="Catastrófico"),CONCATENATE("R1C",'Mapa final'!$R$12),"")</f>
        <v/>
      </c>
      <c r="AJ46" s="49" t="str">
        <f>IF(AND('Mapa final'!$AB$13="Muy Baja",'Mapa final'!$AD$13="Catastrófico"),CONCATENATE("R1C",'Mapa final'!$R$13),"")</f>
        <v/>
      </c>
      <c r="AK46" s="49" t="str">
        <f>IF(AND('Mapa final'!$AB$14="Muy Baja",'Mapa final'!$AD$14="Catastrófico"),CONCATENATE("R1C",'Mapa final'!$R$14),"")</f>
        <v/>
      </c>
      <c r="AL46" s="49" t="str">
        <f>IF(AND('Mapa final'!$AB$15="Muy Baja",'Mapa final'!$AD$15="Catastrófico"),CONCATENATE("R1C",'Mapa final'!$R$15),"")</f>
        <v/>
      </c>
      <c r="AM46" s="50" t="str">
        <f>IF(AND('Mapa final'!$AB$16="Muy Baja",'Mapa final'!$AD$16="Catastrófico"),CONCATENATE("R1C",'Mapa final'!$R$16),"")</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4"/>
      <c r="C47" s="284"/>
      <c r="D47" s="285"/>
      <c r="E47" s="383"/>
      <c r="F47" s="384"/>
      <c r="G47" s="384"/>
      <c r="H47" s="384"/>
      <c r="I47" s="401"/>
      <c r="J47" s="76" t="str">
        <f ca="1">IF(AND('Mapa final'!$AB$17="Muy Baja",'Mapa final'!$AD$17="Leve"),CONCATENATE("R2C",'Mapa final'!$R$17),"")</f>
        <v>R2C1</v>
      </c>
      <c r="K47" s="77" t="str">
        <f ca="1">IF(AND('Mapa final'!$AB$18="Muy Baja",'Mapa final'!$AD$18="Leve"),CONCATENATE("R2C",'Mapa final'!$R$18),"")</f>
        <v>R2C2</v>
      </c>
      <c r="L47" s="77" t="str">
        <f ca="1">IF(AND('Mapa final'!$AB$19="Muy Baja",'Mapa final'!$AD$19="Leve"),CONCATENATE("R2C",'Mapa final'!$R$19),"")</f>
        <v>R2C3</v>
      </c>
      <c r="M47" s="77" t="str">
        <f>IF(AND('Mapa final'!$AB$20="Muy Baja",'Mapa final'!$AD$20="Leve"),CONCATENATE("R2C",'Mapa final'!$R$20),"")</f>
        <v/>
      </c>
      <c r="N47" s="77" t="str">
        <f>IF(AND('Mapa final'!$AB$21="Muy Baja",'Mapa final'!$AD$21="Leve"),CONCATENATE("R2C",'Mapa final'!$R$21),"")</f>
        <v/>
      </c>
      <c r="O47" s="78" t="str">
        <f>IF(AND('Mapa final'!$AB$22="Muy Baja",'Mapa final'!$AD$22="Leve"),CONCATENATE("R2C",'Mapa final'!$R$22),"")</f>
        <v/>
      </c>
      <c r="P47" s="76" t="str">
        <f ca="1">IF(AND('Mapa final'!$AB$17="Muy Baja",'Mapa final'!$AD$17="Menor"),CONCATENATE("R2C",'Mapa final'!$R$17),"")</f>
        <v/>
      </c>
      <c r="Q47" s="77" t="str">
        <f ca="1">IF(AND('Mapa final'!$AB$18="Muy Baja",'Mapa final'!$AD$18="Menor"),CONCATENATE("R2C",'Mapa final'!$R$18),"")</f>
        <v/>
      </c>
      <c r="R47" s="77" t="str">
        <f ca="1">IF(AND('Mapa final'!$AB$19="Muy Baja",'Mapa final'!$AD$19="Menor"),CONCATENATE("R2C",'Mapa final'!$R$19),"")</f>
        <v/>
      </c>
      <c r="S47" s="77" t="str">
        <f>IF(AND('Mapa final'!$AB$20="Muy Baja",'Mapa final'!$AD$20="Menor"),CONCATENATE("R2C",'Mapa final'!$R$20),"")</f>
        <v/>
      </c>
      <c r="T47" s="77" t="str">
        <f>IF(AND('Mapa final'!$AB$21="Muy Baja",'Mapa final'!$AD$21="Menor"),CONCATENATE("R2C",'Mapa final'!$R$21),"")</f>
        <v/>
      </c>
      <c r="U47" s="78" t="str">
        <f>IF(AND('Mapa final'!$AB$22="Muy Baja",'Mapa final'!$AD$22="Menor"),CONCATENATE("R2C",'Mapa final'!$R$22),"")</f>
        <v/>
      </c>
      <c r="V47" s="67" t="str">
        <f ca="1">IF(AND('Mapa final'!$AB$17="Muy Baja",'Mapa final'!$AD$17="Moderado"),CONCATENATE("R2C",'Mapa final'!$R$17),"")</f>
        <v/>
      </c>
      <c r="W47" s="68" t="str">
        <f ca="1">IF(AND('Mapa final'!$AB$18="Muy Baja",'Mapa final'!$AD$18="Moderado"),CONCATENATE("R2C",'Mapa final'!$R$18),"")</f>
        <v/>
      </c>
      <c r="X47" s="68" t="str">
        <f ca="1">IF(AND('Mapa final'!$AB$19="Muy Baja",'Mapa final'!$AD$19="Moderado"),CONCATENATE("R2C",'Mapa final'!$R$19),"")</f>
        <v/>
      </c>
      <c r="Y47" s="68" t="str">
        <f>IF(AND('Mapa final'!$AB$20="Muy Baja",'Mapa final'!$AD$20="Moderado"),CONCATENATE("R2C",'Mapa final'!$R$20),"")</f>
        <v/>
      </c>
      <c r="Z47" s="68" t="str">
        <f>IF(AND('Mapa final'!$AB$21="Muy Baja",'Mapa final'!$AD$21="Moderado"),CONCATENATE("R2C",'Mapa final'!$R$21),"")</f>
        <v/>
      </c>
      <c r="AA47" s="69" t="str">
        <f>IF(AND('Mapa final'!$AB$22="Muy Baja",'Mapa final'!$AD$22="Moderado"),CONCATENATE("R2C",'Mapa final'!$R$22),"")</f>
        <v/>
      </c>
      <c r="AB47" s="51" t="str">
        <f ca="1">IF(AND('Mapa final'!$AB$17="Muy Baja",'Mapa final'!$AD$17="Mayor"),CONCATENATE("R2C",'Mapa final'!$R$17),"")</f>
        <v/>
      </c>
      <c r="AC47" s="52" t="str">
        <f ca="1">IF(AND('Mapa final'!$AB$18="Muy Baja",'Mapa final'!$AD$18="Mayor"),CONCATENATE("R2C",'Mapa final'!$R$18),"")</f>
        <v/>
      </c>
      <c r="AD47" s="52" t="str">
        <f ca="1">IF(AND('Mapa final'!$AB$19="Muy Baja",'Mapa final'!$AD$19="Mayor"),CONCATENATE("R2C",'Mapa final'!$R$19),"")</f>
        <v/>
      </c>
      <c r="AE47" s="52" t="str">
        <f>IF(AND('Mapa final'!$AB$20="Muy Baja",'Mapa final'!$AD$20="Mayor"),CONCATENATE("R2C",'Mapa final'!$R$20),"")</f>
        <v/>
      </c>
      <c r="AF47" s="52" t="str">
        <f>IF(AND('Mapa final'!$AB$21="Muy Baja",'Mapa final'!$AD$21="Mayor"),CONCATENATE("R2C",'Mapa final'!$R$21),"")</f>
        <v/>
      </c>
      <c r="AG47" s="53" t="str">
        <f>IF(AND('Mapa final'!$AB$22="Muy Baja",'Mapa final'!$AD$22="Mayor"),CONCATENATE("R2C",'Mapa final'!$R$22),"")</f>
        <v/>
      </c>
      <c r="AH47" s="54" t="str">
        <f ca="1">IF(AND('Mapa final'!$AB$17="Muy Baja",'Mapa final'!$AD$17="Catastrófico"),CONCATENATE("R2C",'Mapa final'!$R$17),"")</f>
        <v/>
      </c>
      <c r="AI47" s="55" t="str">
        <f ca="1">IF(AND('Mapa final'!$AB$18="Muy Baja",'Mapa final'!$AD$18="Catastrófico"),CONCATENATE("R2C",'Mapa final'!$R$18),"")</f>
        <v/>
      </c>
      <c r="AJ47" s="55" t="str">
        <f ca="1">IF(AND('Mapa final'!$AB$19="Muy Baja",'Mapa final'!$AD$19="Catastrófico"),CONCATENATE("R2C",'Mapa final'!$R$19),"")</f>
        <v/>
      </c>
      <c r="AK47" s="55" t="str">
        <f>IF(AND('Mapa final'!$AB$20="Muy Baja",'Mapa final'!$AD$20="Catastrófico"),CONCATENATE("R2C",'Mapa final'!$R$20),"")</f>
        <v/>
      </c>
      <c r="AL47" s="55" t="str">
        <f>IF(AND('Mapa final'!$AB$21="Muy Baja",'Mapa final'!$AD$21="Catastrófico"),CONCATENATE("R2C",'Mapa final'!$R$21),"")</f>
        <v/>
      </c>
      <c r="AM47" s="56" t="str">
        <f>IF(AND('Mapa final'!$AB$22="Muy Baja",'Mapa final'!$AD$22="Catastrófico"),CONCATENATE("R2C",'Mapa final'!$R$22),"")</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4"/>
      <c r="C48" s="284"/>
      <c r="D48" s="285"/>
      <c r="E48" s="383"/>
      <c r="F48" s="384"/>
      <c r="G48" s="384"/>
      <c r="H48" s="384"/>
      <c r="I48" s="401"/>
      <c r="J48" s="76" t="str">
        <f ca="1">IF(AND('Mapa final'!$AB$23="Muy Baja",'Mapa final'!$AD$23="Leve"),CONCATENATE("R3C",'Mapa final'!$R$23),"")</f>
        <v/>
      </c>
      <c r="K48" s="77" t="str">
        <f ca="1">IF(AND('Mapa final'!$AB$24="Muy Baja",'Mapa final'!$AD$24="Leve"),CONCATENATE("R3C",'Mapa final'!$R$24),"")</f>
        <v/>
      </c>
      <c r="L48" s="77" t="str">
        <f ca="1">IF(AND('Mapa final'!$AB$25="Muy Baja",'Mapa final'!$AD$25="Leve"),CONCATENATE("R3C",'Mapa final'!$R$25),"")</f>
        <v/>
      </c>
      <c r="M48" s="77" t="str">
        <f ca="1">IF(AND('Mapa final'!$AB$26="Muy Baja",'Mapa final'!$AD$26="Leve"),CONCATENATE("R3C",'Mapa final'!$R$26),"")</f>
        <v/>
      </c>
      <c r="N48" s="77" t="str">
        <f ca="1">IF(AND('Mapa final'!$AB$27="Muy Baja",'Mapa final'!$AD$27="Leve"),CONCATENATE("R3C",'Mapa final'!$R$27),"")</f>
        <v/>
      </c>
      <c r="O48" s="78" t="str">
        <f>IF(AND('Mapa final'!$AB$28="Muy Baja",'Mapa final'!$AD$28="Leve"),CONCATENATE("R3C",'Mapa final'!$R$28),"")</f>
        <v/>
      </c>
      <c r="P48" s="76" t="str">
        <f ca="1">IF(AND('Mapa final'!$AB$23="Muy Baja",'Mapa final'!$AD$23="Menor"),CONCATENATE("R3C",'Mapa final'!$R$23),"")</f>
        <v/>
      </c>
      <c r="Q48" s="77" t="str">
        <f ca="1">IF(AND('Mapa final'!$AB$24="Muy Baja",'Mapa final'!$AD$24="Menor"),CONCATENATE("R3C",'Mapa final'!$R$24),"")</f>
        <v/>
      </c>
      <c r="R48" s="77" t="str">
        <f ca="1">IF(AND('Mapa final'!$AB$25="Muy Baja",'Mapa final'!$AD$25="Menor"),CONCATENATE("R3C",'Mapa final'!$R$25),"")</f>
        <v>R3C3</v>
      </c>
      <c r="S48" s="77" t="str">
        <f ca="1">IF(AND('Mapa final'!$AB$26="Muy Baja",'Mapa final'!$AD$26="Menor"),CONCATENATE("R3C",'Mapa final'!$R$26),"")</f>
        <v>R3C4</v>
      </c>
      <c r="T48" s="77" t="str">
        <f ca="1">IF(AND('Mapa final'!$AB$27="Muy Baja",'Mapa final'!$AD$27="Menor"),CONCATENATE("R3C",'Mapa final'!$R$27),"")</f>
        <v>R3C5</v>
      </c>
      <c r="U48" s="78" t="str">
        <f>IF(AND('Mapa final'!$AB$28="Muy Baja",'Mapa final'!$AD$28="Menor"),CONCATENATE("R3C",'Mapa final'!$R$28),"")</f>
        <v/>
      </c>
      <c r="V48" s="67" t="str">
        <f ca="1">IF(AND('Mapa final'!$AB$23="Muy Baja",'Mapa final'!$AD$23="Moderado"),CONCATENATE("R3C",'Mapa final'!$R$23),"")</f>
        <v>R3C1</v>
      </c>
      <c r="W48" s="68" t="str">
        <f ca="1">IF(AND('Mapa final'!$AB$24="Muy Baja",'Mapa final'!$AD$24="Moderado"),CONCATENATE("R3C",'Mapa final'!$R$24),"")</f>
        <v>R3C2</v>
      </c>
      <c r="X48" s="68" t="str">
        <f ca="1">IF(AND('Mapa final'!$AB$25="Muy Baja",'Mapa final'!$AD$25="Moderado"),CONCATENATE("R3C",'Mapa final'!$R$25),"")</f>
        <v/>
      </c>
      <c r="Y48" s="68" t="str">
        <f ca="1">IF(AND('Mapa final'!$AB$26="Muy Baja",'Mapa final'!$AD$26="Moderado"),CONCATENATE("R3C",'Mapa final'!$R$26),"")</f>
        <v/>
      </c>
      <c r="Z48" s="68" t="str">
        <f ca="1">IF(AND('Mapa final'!$AB$27="Muy Baja",'Mapa final'!$AD$27="Moderado"),CONCATENATE("R3C",'Mapa final'!$R$27),"")</f>
        <v/>
      </c>
      <c r="AA48" s="69" t="str">
        <f>IF(AND('Mapa final'!$AB$28="Muy Baja",'Mapa final'!$AD$28="Moderado"),CONCATENATE("R3C",'Mapa final'!$R$28),"")</f>
        <v/>
      </c>
      <c r="AB48" s="51" t="str">
        <f ca="1">IF(AND('Mapa final'!$AB$23="Muy Baja",'Mapa final'!$AD$23="Mayor"),CONCATENATE("R3C",'Mapa final'!$R$23),"")</f>
        <v/>
      </c>
      <c r="AC48" s="52" t="str">
        <f ca="1">IF(AND('Mapa final'!$AB$24="Muy Baja",'Mapa final'!$AD$24="Mayor"),CONCATENATE("R3C",'Mapa final'!$R$24),"")</f>
        <v/>
      </c>
      <c r="AD48" s="52" t="str">
        <f ca="1">IF(AND('Mapa final'!$AB$25="Muy Baja",'Mapa final'!$AD$25="Mayor"),CONCATENATE("R3C",'Mapa final'!$R$25),"")</f>
        <v/>
      </c>
      <c r="AE48" s="52" t="str">
        <f ca="1">IF(AND('Mapa final'!$AB$26="Muy Baja",'Mapa final'!$AD$26="Mayor"),CONCATENATE("R3C",'Mapa final'!$R$26),"")</f>
        <v/>
      </c>
      <c r="AF48" s="52" t="str">
        <f ca="1">IF(AND('Mapa final'!$AB$27="Muy Baja",'Mapa final'!$AD$27="Mayor"),CONCATENATE("R3C",'Mapa final'!$R$27),"")</f>
        <v/>
      </c>
      <c r="AG48" s="53" t="str">
        <f>IF(AND('Mapa final'!$AB$28="Muy Baja",'Mapa final'!$AD$28="Mayor"),CONCATENATE("R3C",'Mapa final'!$R$28),"")</f>
        <v/>
      </c>
      <c r="AH48" s="54" t="str">
        <f ca="1">IF(AND('Mapa final'!$AB$23="Muy Baja",'Mapa final'!$AD$23="Catastrófico"),CONCATENATE("R3C",'Mapa final'!$R$23),"")</f>
        <v/>
      </c>
      <c r="AI48" s="55" t="str">
        <f ca="1">IF(AND('Mapa final'!$AB$24="Muy Baja",'Mapa final'!$AD$24="Catastrófico"),CONCATENATE("R3C",'Mapa final'!$R$24),"")</f>
        <v/>
      </c>
      <c r="AJ48" s="55" t="str">
        <f ca="1">IF(AND('Mapa final'!$AB$25="Muy Baja",'Mapa final'!$AD$25="Catastrófico"),CONCATENATE("R3C",'Mapa final'!$R$25),"")</f>
        <v/>
      </c>
      <c r="AK48" s="55" t="str">
        <f ca="1">IF(AND('Mapa final'!$AB$26="Muy Baja",'Mapa final'!$AD$26="Catastrófico"),CONCATENATE("R3C",'Mapa final'!$R$26),"")</f>
        <v/>
      </c>
      <c r="AL48" s="55" t="str">
        <f ca="1">IF(AND('Mapa final'!$AB$27="Muy Baja",'Mapa final'!$AD$27="Catastrófico"),CONCATENATE("R3C",'Mapa final'!$R$27),"")</f>
        <v/>
      </c>
      <c r="AM48" s="56" t="str">
        <f>IF(AND('Mapa final'!$AB$28="Muy Baja",'Mapa final'!$AD$28="Catastrófico"),CONCATENATE("R3C",'Mapa final'!$R$28),"")</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4"/>
      <c r="C49" s="284"/>
      <c r="D49" s="285"/>
      <c r="E49" s="385"/>
      <c r="F49" s="386"/>
      <c r="G49" s="386"/>
      <c r="H49" s="386"/>
      <c r="I49" s="401"/>
      <c r="J49" s="76" t="str">
        <f ca="1">IF(AND('Mapa final'!$AB$29="Muy Baja",'Mapa final'!$AD$29="Leve"),CONCATENATE("R4C",'Mapa final'!$R$29),"")</f>
        <v/>
      </c>
      <c r="K49" s="77" t="str">
        <f ca="1">IF(AND('Mapa final'!$AB$30="Muy Baja",'Mapa final'!$AD$30="Leve"),CONCATENATE("R4C",'Mapa final'!$R$30),"")</f>
        <v/>
      </c>
      <c r="L49" s="77" t="str">
        <f ca="1">IF(AND('Mapa final'!$AB$31="Muy Baja",'Mapa final'!$AD$31="Leve"),CONCATENATE("R4C",'Mapa final'!$R$31),"")</f>
        <v/>
      </c>
      <c r="M49" s="77" t="str">
        <f ca="1">IF(AND('Mapa final'!$AB$32="Muy Baja",'Mapa final'!$AD$32="Leve"),CONCATENATE("R4C",'Mapa final'!$R$32),"")</f>
        <v>R4C4</v>
      </c>
      <c r="N49" s="77" t="str">
        <f>IF(AND('Mapa final'!$AB$33="Muy Baja",'Mapa final'!$AD$33="Leve"),CONCATENATE("R4C",'Mapa final'!$R$33),"")</f>
        <v/>
      </c>
      <c r="O49" s="78" t="str">
        <f>IF(AND('Mapa final'!$AB$34="Muy Baja",'Mapa final'!$AD$34="Leve"),CONCATENATE("R4C",'Mapa final'!$R$34),"")</f>
        <v/>
      </c>
      <c r="P49" s="76" t="str">
        <f ca="1">IF(AND('Mapa final'!$AB$29="Muy Baja",'Mapa final'!$AD$29="Menor"),CONCATENATE("R4C",'Mapa final'!$R$29),"")</f>
        <v>R4C1</v>
      </c>
      <c r="Q49" s="77" t="str">
        <f ca="1">IF(AND('Mapa final'!$AB$30="Muy Baja",'Mapa final'!$AD$30="Menor"),CONCATENATE("R4C",'Mapa final'!$R$30),"")</f>
        <v>R4C2</v>
      </c>
      <c r="R49" s="77" t="str">
        <f ca="1">IF(AND('Mapa final'!$AB$31="Muy Baja",'Mapa final'!$AD$31="Menor"),CONCATENATE("R4C",'Mapa final'!$R$31),"")</f>
        <v>R4C3</v>
      </c>
      <c r="S49" s="77" t="str">
        <f ca="1">IF(AND('Mapa final'!$AB$32="Muy Baja",'Mapa final'!$AD$32="Menor"),CONCATENATE("R4C",'Mapa final'!$R$32),"")</f>
        <v/>
      </c>
      <c r="T49" s="77" t="str">
        <f>IF(AND('Mapa final'!$AB$33="Muy Baja",'Mapa final'!$AD$33="Menor"),CONCATENATE("R4C",'Mapa final'!$R$33),"")</f>
        <v/>
      </c>
      <c r="U49" s="78" t="str">
        <f>IF(AND('Mapa final'!$AB$34="Muy Baja",'Mapa final'!$AD$34="Menor"),CONCATENATE("R4C",'Mapa final'!$R$34),"")</f>
        <v/>
      </c>
      <c r="V49" s="67" t="str">
        <f ca="1">IF(AND('Mapa final'!$AB$29="Muy Baja",'Mapa final'!$AD$29="Moderado"),CONCATENATE("R4C",'Mapa final'!$R$29),"")</f>
        <v/>
      </c>
      <c r="W49" s="68" t="str">
        <f ca="1">IF(AND('Mapa final'!$AB$30="Muy Baja",'Mapa final'!$AD$30="Moderado"),CONCATENATE("R4C",'Mapa final'!$R$30),"")</f>
        <v/>
      </c>
      <c r="X49" s="68" t="str">
        <f ca="1">IF(AND('Mapa final'!$AB$31="Muy Baja",'Mapa final'!$AD$31="Moderado"),CONCATENATE("R4C",'Mapa final'!$R$31),"")</f>
        <v/>
      </c>
      <c r="Y49" s="68" t="str">
        <f ca="1">IF(AND('Mapa final'!$AB$32="Muy Baja",'Mapa final'!$AD$32="Moderado"),CONCATENATE("R4C",'Mapa final'!$R$32),"")</f>
        <v/>
      </c>
      <c r="Z49" s="68" t="str">
        <f>IF(AND('Mapa final'!$AB$33="Muy Baja",'Mapa final'!$AD$33="Moderado"),CONCATENATE("R4C",'Mapa final'!$R$33),"")</f>
        <v/>
      </c>
      <c r="AA49" s="69" t="str">
        <f>IF(AND('Mapa final'!$AB$34="Muy Baja",'Mapa final'!$AD$34="Moderado"),CONCATENATE("R4C",'Mapa final'!$R$34),"")</f>
        <v/>
      </c>
      <c r="AB49" s="51" t="str">
        <f ca="1">IF(AND('Mapa final'!$AB$29="Muy Baja",'Mapa final'!$AD$29="Mayor"),CONCATENATE("R4C",'Mapa final'!$R$29),"")</f>
        <v/>
      </c>
      <c r="AC49" s="52" t="str">
        <f ca="1">IF(AND('Mapa final'!$AB$30="Muy Baja",'Mapa final'!$AD$30="Mayor"),CONCATENATE("R4C",'Mapa final'!$R$30),"")</f>
        <v/>
      </c>
      <c r="AD49" s="52" t="str">
        <f ca="1">IF(AND('Mapa final'!$AB$31="Muy Baja",'Mapa final'!$AD$31="Mayor"),CONCATENATE("R4C",'Mapa final'!$R$31),"")</f>
        <v/>
      </c>
      <c r="AE49" s="52" t="str">
        <f ca="1">IF(AND('Mapa final'!$AB$32="Muy Baja",'Mapa final'!$AD$32="Mayor"),CONCATENATE("R4C",'Mapa final'!$R$32),"")</f>
        <v/>
      </c>
      <c r="AF49" s="52" t="str">
        <f>IF(AND('Mapa final'!$AB$33="Muy Baja",'Mapa final'!$AD$33="Mayor"),CONCATENATE("R4C",'Mapa final'!$R$33),"")</f>
        <v/>
      </c>
      <c r="AG49" s="53" t="str">
        <f>IF(AND('Mapa final'!$AB$34="Muy Baja",'Mapa final'!$AD$34="Mayor"),CONCATENATE("R4C",'Mapa final'!$R$34),"")</f>
        <v/>
      </c>
      <c r="AH49" s="54" t="str">
        <f ca="1">IF(AND('Mapa final'!$AB$29="Muy Baja",'Mapa final'!$AD$29="Catastrófico"),CONCATENATE("R4C",'Mapa final'!$R$29),"")</f>
        <v/>
      </c>
      <c r="AI49" s="55" t="str">
        <f ca="1">IF(AND('Mapa final'!$AB$30="Muy Baja",'Mapa final'!$AD$30="Catastrófico"),CONCATENATE("R4C",'Mapa final'!$R$30),"")</f>
        <v/>
      </c>
      <c r="AJ49" s="55" t="str">
        <f ca="1">IF(AND('Mapa final'!$AB$31="Muy Baja",'Mapa final'!$AD$31="Catastrófico"),CONCATENATE("R4C",'Mapa final'!$R$31),"")</f>
        <v/>
      </c>
      <c r="AK49" s="55" t="str">
        <f ca="1">IF(AND('Mapa final'!$AB$32="Muy Baja",'Mapa final'!$AD$32="Catastrófico"),CONCATENATE("R4C",'Mapa final'!$R$32),"")</f>
        <v/>
      </c>
      <c r="AL49" s="55" t="str">
        <f>IF(AND('Mapa final'!$AB$33="Muy Baja",'Mapa final'!$AD$33="Catastrófico"),CONCATENATE("R4C",'Mapa final'!$R$33),"")</f>
        <v/>
      </c>
      <c r="AM49" s="56" t="str">
        <f>IF(AND('Mapa final'!$AB$34="Muy Baja",'Mapa final'!$AD$34="Catastrófico"),CONCATENATE("R4C",'Mapa final'!$R$34),"")</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4"/>
      <c r="C50" s="284"/>
      <c r="D50" s="285"/>
      <c r="E50" s="385"/>
      <c r="F50" s="386"/>
      <c r="G50" s="386"/>
      <c r="H50" s="386"/>
      <c r="I50" s="401"/>
      <c r="J50" s="76" t="str">
        <f ca="1">IF(AND('Mapa final'!$AB$41="Muy Baja",'Mapa final'!$AD$41="Leve"),CONCATENATE("R5C",'Mapa final'!$R$41),"")</f>
        <v/>
      </c>
      <c r="K50" s="77" t="str">
        <f ca="1">IF(AND('Mapa final'!$AB$42="Muy Baja",'Mapa final'!$AD$42="Leve"),CONCATENATE("R5C",'Mapa final'!$R$42),"")</f>
        <v/>
      </c>
      <c r="L50" s="77" t="str">
        <f ca="1">IF(AND('Mapa final'!$AB$43="Muy Baja",'Mapa final'!$AD$43="Leve"),CONCATENATE("R5C",'Mapa final'!$R$43),"")</f>
        <v/>
      </c>
      <c r="M50" s="77" t="str">
        <f ca="1">IF(AND('Mapa final'!$AB$44="Muy Baja",'Mapa final'!$AD$44="Leve"),CONCATENATE("R5C",'Mapa final'!$R$44),"")</f>
        <v/>
      </c>
      <c r="N50" s="77" t="str">
        <f>IF(AND('Mapa final'!$AB$45="Muy Baja",'Mapa final'!$AD$45="Leve"),CONCATENATE("R5C",'Mapa final'!$R$45),"")</f>
        <v/>
      </c>
      <c r="O50" s="78" t="str">
        <f>IF(AND('Mapa final'!$AB$46="Muy Baja",'Mapa final'!$AD$46="Leve"),CONCATENATE("R5C",'Mapa final'!$R$46),"")</f>
        <v/>
      </c>
      <c r="P50" s="76" t="str">
        <f ca="1">IF(AND('Mapa final'!$AB$41="Muy Baja",'Mapa final'!$AD$41="Menor"),CONCATENATE("R5C",'Mapa final'!$R$41),"")</f>
        <v/>
      </c>
      <c r="Q50" s="77" t="str">
        <f ca="1">IF(AND('Mapa final'!$AB$42="Muy Baja",'Mapa final'!$AD$42="Menor"),CONCATENATE("R5C",'Mapa final'!$R$42),"")</f>
        <v/>
      </c>
      <c r="R50" s="77" t="str">
        <f ca="1">IF(AND('Mapa final'!$AB$43="Muy Baja",'Mapa final'!$AD$43="Menor"),CONCATENATE("R5C",'Mapa final'!$R$43),"")</f>
        <v/>
      </c>
      <c r="S50" s="77" t="str">
        <f ca="1">IF(AND('Mapa final'!$AB$44="Muy Baja",'Mapa final'!$AD$44="Menor"),CONCATENATE("R5C",'Mapa final'!$R$44),"")</f>
        <v/>
      </c>
      <c r="T50" s="77" t="str">
        <f>IF(AND('Mapa final'!$AB$45="Muy Baja",'Mapa final'!$AD$45="Menor"),CONCATENATE("R5C",'Mapa final'!$R$45),"")</f>
        <v/>
      </c>
      <c r="U50" s="78" t="str">
        <f>IF(AND('Mapa final'!$AB$46="Muy Baja",'Mapa final'!$AD$46="Menor"),CONCATENATE("R5C",'Mapa final'!$R$46),"")</f>
        <v/>
      </c>
      <c r="V50" s="67" t="str">
        <f ca="1">IF(AND('Mapa final'!$AB$41="Muy Baja",'Mapa final'!$AD$41="Moderado"),CONCATENATE("R5C",'Mapa final'!$R$41),"")</f>
        <v/>
      </c>
      <c r="W50" s="68" t="str">
        <f ca="1">IF(AND('Mapa final'!$AB$42="Muy Baja",'Mapa final'!$AD$42="Moderado"),CONCATENATE("R5C",'Mapa final'!$R$42),"")</f>
        <v/>
      </c>
      <c r="X50" s="68" t="str">
        <f ca="1">IF(AND('Mapa final'!$AB$43="Muy Baja",'Mapa final'!$AD$43="Moderado"),CONCATENATE("R5C",'Mapa final'!$R$43),"")</f>
        <v/>
      </c>
      <c r="Y50" s="68" t="str">
        <f ca="1">IF(AND('Mapa final'!$AB$44="Muy Baja",'Mapa final'!$AD$44="Moderado"),CONCATENATE("R5C",'Mapa final'!$R$44),"")</f>
        <v>R5C4</v>
      </c>
      <c r="Z50" s="68" t="str">
        <f>IF(AND('Mapa final'!$AB$45="Muy Baja",'Mapa final'!$AD$45="Moderado"),CONCATENATE("R5C",'Mapa final'!$R$45),"")</f>
        <v/>
      </c>
      <c r="AA50" s="69" t="str">
        <f>IF(AND('Mapa final'!$AB$46="Muy Baja",'Mapa final'!$AD$46="Moderado"),CONCATENATE("R5C",'Mapa final'!$R$46),"")</f>
        <v/>
      </c>
      <c r="AB50" s="51" t="str">
        <f ca="1">IF(AND('Mapa final'!$AB$41="Muy Baja",'Mapa final'!$AD$41="Mayor"),CONCATENATE("R5C",'Mapa final'!$R$41),"")</f>
        <v/>
      </c>
      <c r="AC50" s="52" t="str">
        <f ca="1">IF(AND('Mapa final'!$AB$42="Muy Baja",'Mapa final'!$AD$42="Mayor"),CONCATENATE("R5C",'Mapa final'!$R$42),"")</f>
        <v/>
      </c>
      <c r="AD50" s="57" t="str">
        <f ca="1">IF(AND('Mapa final'!$AB$43="Muy Baja",'Mapa final'!$AD$43="Mayor"),CONCATENATE("R5C",'Mapa final'!$R$43),"")</f>
        <v/>
      </c>
      <c r="AE50" s="57" t="str">
        <f ca="1">IF(AND('Mapa final'!$AB$44="Muy Baja",'Mapa final'!$AD$44="Mayor"),CONCATENATE("R5C",'Mapa final'!$R$44),"")</f>
        <v/>
      </c>
      <c r="AF50" s="57" t="str">
        <f>IF(AND('Mapa final'!$AB$45="Muy Baja",'Mapa final'!$AD$45="Mayor"),CONCATENATE("R5C",'Mapa final'!$R$45),"")</f>
        <v/>
      </c>
      <c r="AG50" s="53" t="str">
        <f>IF(AND('Mapa final'!$AB$46="Muy Baja",'Mapa final'!$AD$46="Mayor"),CONCATENATE("R5C",'Mapa final'!$R$46),"")</f>
        <v/>
      </c>
      <c r="AH50" s="54" t="str">
        <f ca="1">IF(AND('Mapa final'!$AB$41="Muy Baja",'Mapa final'!$AD$41="Catastrófico"),CONCATENATE("R5C",'Mapa final'!$R$41),"")</f>
        <v/>
      </c>
      <c r="AI50" s="55" t="str">
        <f ca="1">IF(AND('Mapa final'!$AB$42="Muy Baja",'Mapa final'!$AD$42="Catastrófico"),CONCATENATE("R5C",'Mapa final'!$R$42),"")</f>
        <v/>
      </c>
      <c r="AJ50" s="55" t="str">
        <f ca="1">IF(AND('Mapa final'!$AB$43="Muy Baja",'Mapa final'!$AD$43="Catastrófico"),CONCATENATE("R5C",'Mapa final'!$R$43),"")</f>
        <v/>
      </c>
      <c r="AK50" s="55" t="str">
        <f ca="1">IF(AND('Mapa final'!$AB$44="Muy Baja",'Mapa final'!$AD$44="Catastrófico"),CONCATENATE("R5C",'Mapa final'!$R$44),"")</f>
        <v/>
      </c>
      <c r="AL50" s="55" t="str">
        <f>IF(AND('Mapa final'!$AB$45="Muy Baja",'Mapa final'!$AD$45="Catastrófico"),CONCATENATE("R5C",'Mapa final'!$R$45),"")</f>
        <v/>
      </c>
      <c r="AM50" s="56" t="str">
        <f>IF(AND('Mapa final'!$AB$46="Muy Baja",'Mapa final'!$AD$46="Catastrófico"),CONCATENATE("R5C",'Mapa final'!$R$46),"")</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4"/>
      <c r="C51" s="284"/>
      <c r="D51" s="285"/>
      <c r="E51" s="385"/>
      <c r="F51" s="386"/>
      <c r="G51" s="386"/>
      <c r="H51" s="386"/>
      <c r="I51" s="401"/>
      <c r="J51" s="76" t="e">
        <f>IF(AND('Mapa final'!#REF!="Muy Baja",'Mapa final'!#REF!="Leve"),CONCATENATE("R6C",'Mapa final'!#REF!),"")</f>
        <v>#REF!</v>
      </c>
      <c r="K51" s="77" t="e">
        <f>IF(AND('Mapa final'!#REF!="Muy Baja",'Mapa final'!#REF!="Leve"),CONCATENATE("R6C",'Mapa final'!#REF!),"")</f>
        <v>#REF!</v>
      </c>
      <c r="L51" s="77" t="e">
        <f>IF(AND('Mapa final'!#REF!="Muy Baja",'Mapa final'!#REF!="Leve"),CONCATENATE("R6C",'Mapa final'!#REF!),"")</f>
        <v>#REF!</v>
      </c>
      <c r="M51" s="77" t="e">
        <f>IF(AND('Mapa final'!#REF!="Muy Baja",'Mapa final'!#REF!="Leve"),CONCATENATE("R6C",'Mapa final'!#REF!),"")</f>
        <v>#REF!</v>
      </c>
      <c r="N51" s="77" t="e">
        <f>IF(AND('Mapa final'!#REF!="Muy Baja",'Mapa final'!#REF!="Leve"),CONCATENATE("R6C",'Mapa final'!#REF!),"")</f>
        <v>#REF!</v>
      </c>
      <c r="O51" s="78" t="e">
        <f>IF(AND('Mapa final'!#REF!="Muy Baja",'Mapa final'!#REF!="Leve"),CONCATENATE("R6C",'Mapa final'!#REF!),"")</f>
        <v>#REF!</v>
      </c>
      <c r="P51" s="76" t="e">
        <f>IF(AND('Mapa final'!#REF!="Muy Baja",'Mapa final'!#REF!="Menor"),CONCATENATE("R6C",'Mapa final'!#REF!),"")</f>
        <v>#REF!</v>
      </c>
      <c r="Q51" s="77" t="e">
        <f>IF(AND('Mapa final'!#REF!="Muy Baja",'Mapa final'!#REF!="Menor"),CONCATENATE("R6C",'Mapa final'!#REF!),"")</f>
        <v>#REF!</v>
      </c>
      <c r="R51" s="77" t="e">
        <f>IF(AND('Mapa final'!#REF!="Muy Baja",'Mapa final'!#REF!="Menor"),CONCATENATE("R6C",'Mapa final'!#REF!),"")</f>
        <v>#REF!</v>
      </c>
      <c r="S51" s="77" t="e">
        <f>IF(AND('Mapa final'!#REF!="Muy Baja",'Mapa final'!#REF!="Menor"),CONCATENATE("R6C",'Mapa final'!#REF!),"")</f>
        <v>#REF!</v>
      </c>
      <c r="T51" s="77" t="e">
        <f>IF(AND('Mapa final'!#REF!="Muy Baja",'Mapa final'!#REF!="Menor"),CONCATENATE("R6C",'Mapa final'!#REF!),"")</f>
        <v>#REF!</v>
      </c>
      <c r="U51" s="78" t="e">
        <f>IF(AND('Mapa final'!#REF!="Muy Baja",'Mapa final'!#REF!="Menor"),CONCATENATE("R6C",'Mapa final'!#REF!),"")</f>
        <v>#REF!</v>
      </c>
      <c r="V51" s="67" t="e">
        <f>IF(AND('Mapa final'!#REF!="Muy Baja",'Mapa final'!#REF!="Moderado"),CONCATENATE("R6C",'Mapa final'!#REF!),"")</f>
        <v>#REF!</v>
      </c>
      <c r="W51" s="68" t="e">
        <f>IF(AND('Mapa final'!#REF!="Muy Baja",'Mapa final'!#REF!="Moderado"),CONCATENATE("R6C",'Mapa final'!#REF!),"")</f>
        <v>#REF!</v>
      </c>
      <c r="X51" s="68" t="e">
        <f>IF(AND('Mapa final'!#REF!="Muy Baja",'Mapa final'!#REF!="Moderado"),CONCATENATE("R6C",'Mapa final'!#REF!),"")</f>
        <v>#REF!</v>
      </c>
      <c r="Y51" s="68" t="e">
        <f>IF(AND('Mapa final'!#REF!="Muy Baja",'Mapa final'!#REF!="Moderado"),CONCATENATE("R6C",'Mapa final'!#REF!),"")</f>
        <v>#REF!</v>
      </c>
      <c r="Z51" s="68" t="e">
        <f>IF(AND('Mapa final'!#REF!="Muy Baja",'Mapa final'!#REF!="Moderado"),CONCATENATE("R6C",'Mapa final'!#REF!),"")</f>
        <v>#REF!</v>
      </c>
      <c r="AA51" s="69" t="e">
        <f>IF(AND('Mapa final'!#REF!="Muy Baja",'Mapa final'!#REF!="Moderado"),CONCATENATE("R6C",'Mapa final'!#REF!),"")</f>
        <v>#REF!</v>
      </c>
      <c r="AB51" s="51" t="e">
        <f>IF(AND('Mapa final'!#REF!="Muy Baja",'Mapa final'!#REF!="Mayor"),CONCATENATE("R6C",'Mapa final'!#REF!),"")</f>
        <v>#REF!</v>
      </c>
      <c r="AC51" s="52" t="e">
        <f>IF(AND('Mapa final'!#REF!="Muy Baja",'Mapa final'!#REF!="Mayor"),CONCATENATE("R6C",'Mapa final'!#REF!),"")</f>
        <v>#REF!</v>
      </c>
      <c r="AD51" s="57" t="e">
        <f>IF(AND('Mapa final'!#REF!="Muy Baja",'Mapa final'!#REF!="Mayor"),CONCATENATE("R6C",'Mapa final'!#REF!),"")</f>
        <v>#REF!</v>
      </c>
      <c r="AE51" s="57" t="e">
        <f>IF(AND('Mapa final'!#REF!="Muy Baja",'Mapa final'!#REF!="Mayor"),CONCATENATE("R6C",'Mapa final'!#REF!),"")</f>
        <v>#REF!</v>
      </c>
      <c r="AF51" s="57" t="e">
        <f>IF(AND('Mapa final'!#REF!="Muy Baja",'Mapa final'!#REF!="Mayor"),CONCATENATE("R6C",'Mapa final'!#REF!),"")</f>
        <v>#REF!</v>
      </c>
      <c r="AG51" s="53" t="e">
        <f>IF(AND('Mapa final'!#REF!="Muy Baja",'Mapa final'!#REF!="Mayor"),CONCATENATE("R6C",'Mapa final'!#REF!),"")</f>
        <v>#REF!</v>
      </c>
      <c r="AH51" s="54" t="e">
        <f>IF(AND('Mapa final'!#REF!="Muy Baja",'Mapa final'!#REF!="Catastrófico"),CONCATENATE("R6C",'Mapa final'!#REF!),"")</f>
        <v>#REF!</v>
      </c>
      <c r="AI51" s="55" t="e">
        <f>IF(AND('Mapa final'!#REF!="Muy Baja",'Mapa final'!#REF!="Catastrófico"),CONCATENATE("R6C",'Mapa final'!#REF!),"")</f>
        <v>#REF!</v>
      </c>
      <c r="AJ51" s="55" t="e">
        <f>IF(AND('Mapa final'!#REF!="Muy Baja",'Mapa final'!#REF!="Catastrófico"),CONCATENATE("R6C",'Mapa final'!#REF!),"")</f>
        <v>#REF!</v>
      </c>
      <c r="AK51" s="55" t="e">
        <f>IF(AND('Mapa final'!#REF!="Muy Baja",'Mapa final'!#REF!="Catastrófico"),CONCATENATE("R6C",'Mapa final'!#REF!),"")</f>
        <v>#REF!</v>
      </c>
      <c r="AL51" s="55" t="e">
        <f>IF(AND('Mapa final'!#REF!="Muy Baja",'Mapa final'!#REF!="Catastrófico"),CONCATENATE("R6C",'Mapa final'!#REF!),"")</f>
        <v>#REF!</v>
      </c>
      <c r="AM51" s="56" t="e">
        <f>IF(AND('Mapa final'!#REF!="Muy Baja",'Mapa final'!#REF!="Catastrófico"),CONCATENATE("R6C",'Mapa final'!#REF!),"")</f>
        <v>#REF!</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4"/>
      <c r="C52" s="284"/>
      <c r="D52" s="285"/>
      <c r="E52" s="385"/>
      <c r="F52" s="386"/>
      <c r="G52" s="386"/>
      <c r="H52" s="386"/>
      <c r="I52" s="401"/>
      <c r="J52" s="76" t="e">
        <f>IF(AND('Mapa final'!#REF!="Muy Baja",'Mapa final'!#REF!="Leve"),CONCATENATE("R7C",'Mapa final'!#REF!),"")</f>
        <v>#REF!</v>
      </c>
      <c r="K52" s="77" t="e">
        <f>IF(AND('Mapa final'!#REF!="Muy Baja",'Mapa final'!#REF!="Leve"),CONCATENATE("R7C",'Mapa final'!#REF!),"")</f>
        <v>#REF!</v>
      </c>
      <c r="L52" s="77" t="e">
        <f>IF(AND('Mapa final'!#REF!="Muy Baja",'Mapa final'!#REF!="Leve"),CONCATENATE("R7C",'Mapa final'!#REF!),"")</f>
        <v>#REF!</v>
      </c>
      <c r="M52" s="77" t="e">
        <f>IF(AND('Mapa final'!#REF!="Muy Baja",'Mapa final'!#REF!="Leve"),CONCATENATE("R7C",'Mapa final'!#REF!),"")</f>
        <v>#REF!</v>
      </c>
      <c r="N52" s="77" t="e">
        <f>IF(AND('Mapa final'!#REF!="Muy Baja",'Mapa final'!#REF!="Leve"),CONCATENATE("R7C",'Mapa final'!#REF!),"")</f>
        <v>#REF!</v>
      </c>
      <c r="O52" s="78" t="e">
        <f>IF(AND('Mapa final'!#REF!="Muy Baja",'Mapa final'!#REF!="Leve"),CONCATENATE("R7C",'Mapa final'!#REF!),"")</f>
        <v>#REF!</v>
      </c>
      <c r="P52" s="76" t="e">
        <f>IF(AND('Mapa final'!#REF!="Muy Baja",'Mapa final'!#REF!="Menor"),CONCATENATE("R7C",'Mapa final'!#REF!),"")</f>
        <v>#REF!</v>
      </c>
      <c r="Q52" s="77" t="e">
        <f>IF(AND('Mapa final'!#REF!="Muy Baja",'Mapa final'!#REF!="Menor"),CONCATENATE("R7C",'Mapa final'!#REF!),"")</f>
        <v>#REF!</v>
      </c>
      <c r="R52" s="77" t="e">
        <f>IF(AND('Mapa final'!#REF!="Muy Baja",'Mapa final'!#REF!="Menor"),CONCATENATE("R7C",'Mapa final'!#REF!),"")</f>
        <v>#REF!</v>
      </c>
      <c r="S52" s="77" t="e">
        <f>IF(AND('Mapa final'!#REF!="Muy Baja",'Mapa final'!#REF!="Menor"),CONCATENATE("R7C",'Mapa final'!#REF!),"")</f>
        <v>#REF!</v>
      </c>
      <c r="T52" s="77" t="e">
        <f>IF(AND('Mapa final'!#REF!="Muy Baja",'Mapa final'!#REF!="Menor"),CONCATENATE("R7C",'Mapa final'!#REF!),"")</f>
        <v>#REF!</v>
      </c>
      <c r="U52" s="78" t="e">
        <f>IF(AND('Mapa final'!#REF!="Muy Baja",'Mapa final'!#REF!="Menor"),CONCATENATE("R7C",'Mapa final'!#REF!),"")</f>
        <v>#REF!</v>
      </c>
      <c r="V52" s="67" t="e">
        <f>IF(AND('Mapa final'!#REF!="Muy Baja",'Mapa final'!#REF!="Moderado"),CONCATENATE("R7C",'Mapa final'!#REF!),"")</f>
        <v>#REF!</v>
      </c>
      <c r="W52" s="68" t="e">
        <f>IF(AND('Mapa final'!#REF!="Muy Baja",'Mapa final'!#REF!="Moderado"),CONCATENATE("R7C",'Mapa final'!#REF!),"")</f>
        <v>#REF!</v>
      </c>
      <c r="X52" s="68" t="e">
        <f>IF(AND('Mapa final'!#REF!="Muy Baja",'Mapa final'!#REF!="Moderado"),CONCATENATE("R7C",'Mapa final'!#REF!),"")</f>
        <v>#REF!</v>
      </c>
      <c r="Y52" s="68" t="e">
        <f>IF(AND('Mapa final'!#REF!="Muy Baja",'Mapa final'!#REF!="Moderado"),CONCATENATE("R7C",'Mapa final'!#REF!),"")</f>
        <v>#REF!</v>
      </c>
      <c r="Z52" s="68" t="e">
        <f>IF(AND('Mapa final'!#REF!="Muy Baja",'Mapa final'!#REF!="Moderado"),CONCATENATE("R7C",'Mapa final'!#REF!),"")</f>
        <v>#REF!</v>
      </c>
      <c r="AA52" s="69" t="e">
        <f>IF(AND('Mapa final'!#REF!="Muy Baja",'Mapa final'!#REF!="Moderado"),CONCATENATE("R7C",'Mapa final'!#REF!),"")</f>
        <v>#REF!</v>
      </c>
      <c r="AB52" s="51" t="e">
        <f>IF(AND('Mapa final'!#REF!="Muy Baja",'Mapa final'!#REF!="Mayor"),CONCATENATE("R7C",'Mapa final'!#REF!),"")</f>
        <v>#REF!</v>
      </c>
      <c r="AC52" s="52" t="e">
        <f>IF(AND('Mapa final'!#REF!="Muy Baja",'Mapa final'!#REF!="Mayor"),CONCATENATE("R7C",'Mapa final'!#REF!),"")</f>
        <v>#REF!</v>
      </c>
      <c r="AD52" s="57" t="e">
        <f>IF(AND('Mapa final'!#REF!="Muy Baja",'Mapa final'!#REF!="Mayor"),CONCATENATE("R7C",'Mapa final'!#REF!),"")</f>
        <v>#REF!</v>
      </c>
      <c r="AE52" s="57" t="e">
        <f>IF(AND('Mapa final'!#REF!="Muy Baja",'Mapa final'!#REF!="Mayor"),CONCATENATE("R7C",'Mapa final'!#REF!),"")</f>
        <v>#REF!</v>
      </c>
      <c r="AF52" s="57" t="e">
        <f>IF(AND('Mapa final'!#REF!="Muy Baja",'Mapa final'!#REF!="Mayor"),CONCATENATE("R7C",'Mapa final'!#REF!),"")</f>
        <v>#REF!</v>
      </c>
      <c r="AG52" s="53" t="e">
        <f>IF(AND('Mapa final'!#REF!="Muy Baja",'Mapa final'!#REF!="Mayor"),CONCATENATE("R7C",'Mapa final'!#REF!),"")</f>
        <v>#REF!</v>
      </c>
      <c r="AH52" s="54" t="e">
        <f>IF(AND('Mapa final'!#REF!="Muy Baja",'Mapa final'!#REF!="Catastrófico"),CONCATENATE("R7C",'Mapa final'!#REF!),"")</f>
        <v>#REF!</v>
      </c>
      <c r="AI52" s="55" t="e">
        <f>IF(AND('Mapa final'!#REF!="Muy Baja",'Mapa final'!#REF!="Catastrófico"),CONCATENATE("R7C",'Mapa final'!#REF!),"")</f>
        <v>#REF!</v>
      </c>
      <c r="AJ52" s="55" t="e">
        <f>IF(AND('Mapa final'!#REF!="Muy Baja",'Mapa final'!#REF!="Catastrófico"),CONCATENATE("R7C",'Mapa final'!#REF!),"")</f>
        <v>#REF!</v>
      </c>
      <c r="AK52" s="55" t="e">
        <f>IF(AND('Mapa final'!#REF!="Muy Baja",'Mapa final'!#REF!="Catastrófico"),CONCATENATE("R7C",'Mapa final'!#REF!),"")</f>
        <v>#REF!</v>
      </c>
      <c r="AL52" s="55" t="e">
        <f>IF(AND('Mapa final'!#REF!="Muy Baja",'Mapa final'!#REF!="Catastrófico"),CONCATENATE("R7C",'Mapa final'!#REF!),"")</f>
        <v>#REF!</v>
      </c>
      <c r="AM52" s="56" t="e">
        <f>IF(AND('Mapa final'!#REF!="Muy Baja",'Mapa final'!#REF!="Catastrófico"),CONCATENATE("R7C",'Mapa final'!#REF!),"")</f>
        <v>#REF!</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4"/>
      <c r="C53" s="284"/>
      <c r="D53" s="285"/>
      <c r="E53" s="385"/>
      <c r="F53" s="386"/>
      <c r="G53" s="386"/>
      <c r="H53" s="386"/>
      <c r="I53" s="401"/>
      <c r="J53" s="76" t="str">
        <f ca="1">IF(AND('Mapa final'!$AB$47="Muy Baja",'Mapa final'!$AD$47="Leve"),CONCATENATE("R8C",'Mapa final'!$R$47),"")</f>
        <v/>
      </c>
      <c r="K53" s="77" t="str">
        <f>IF(AND('Mapa final'!$AB$48="Muy Baja",'Mapa final'!$AD$48="Leve"),CONCATENATE("R8C",'Mapa final'!$R$48),"")</f>
        <v/>
      </c>
      <c r="L53" s="77" t="str">
        <f>IF(AND('Mapa final'!$AB$49="Muy Baja",'Mapa final'!$AD$49="Leve"),CONCATENATE("R8C",'Mapa final'!$R$49),"")</f>
        <v/>
      </c>
      <c r="M53" s="77" t="str">
        <f>IF(AND('Mapa final'!$AB$50="Muy Baja",'Mapa final'!$AD$50="Leve"),CONCATENATE("R8C",'Mapa final'!$R$50),"")</f>
        <v/>
      </c>
      <c r="N53" s="77" t="str">
        <f>IF(AND('Mapa final'!$AB$51="Muy Baja",'Mapa final'!$AD$51="Leve"),CONCATENATE("R8C",'Mapa final'!$R$51),"")</f>
        <v/>
      </c>
      <c r="O53" s="78" t="str">
        <f>IF(AND('Mapa final'!$AB$52="Muy Baja",'Mapa final'!$AD$52="Leve"),CONCATENATE("R8C",'Mapa final'!$R$52),"")</f>
        <v/>
      </c>
      <c r="P53" s="76" t="str">
        <f ca="1">IF(AND('Mapa final'!$AB$47="Muy Baja",'Mapa final'!$AD$47="Menor"),CONCATENATE("R8C",'Mapa final'!$R$47),"")</f>
        <v/>
      </c>
      <c r="Q53" s="77" t="str">
        <f>IF(AND('Mapa final'!$AB$48="Muy Baja",'Mapa final'!$AD$48="Menor"),CONCATENATE("R8C",'Mapa final'!$R$48),"")</f>
        <v/>
      </c>
      <c r="R53" s="77" t="str">
        <f>IF(AND('Mapa final'!$AB$49="Muy Baja",'Mapa final'!$AD$49="Menor"),CONCATENATE("R8C",'Mapa final'!$R$49),"")</f>
        <v/>
      </c>
      <c r="S53" s="77" t="str">
        <f>IF(AND('Mapa final'!$AB$50="Muy Baja",'Mapa final'!$AD$50="Menor"),CONCATENATE("R8C",'Mapa final'!$R$50),"")</f>
        <v/>
      </c>
      <c r="T53" s="77" t="str">
        <f>IF(AND('Mapa final'!$AB$51="Muy Baja",'Mapa final'!$AD$51="Menor"),CONCATENATE("R8C",'Mapa final'!$R$51),"")</f>
        <v/>
      </c>
      <c r="U53" s="78" t="str">
        <f>IF(AND('Mapa final'!$AB$52="Muy Baja",'Mapa final'!$AD$52="Menor"),CONCATENATE("R8C",'Mapa final'!$R$52),"")</f>
        <v/>
      </c>
      <c r="V53" s="67" t="str">
        <f ca="1">IF(AND('Mapa final'!$AB$47="Muy Baja",'Mapa final'!$AD$47="Moderado"),CONCATENATE("R8C",'Mapa final'!$R$47),"")</f>
        <v>R8C1</v>
      </c>
      <c r="W53" s="68" t="str">
        <f>IF(AND('Mapa final'!$AB$48="Muy Baja",'Mapa final'!$AD$48="Moderado"),CONCATENATE("R8C",'Mapa final'!$R$48),"")</f>
        <v/>
      </c>
      <c r="X53" s="68" t="str">
        <f>IF(AND('Mapa final'!$AB$49="Muy Baja",'Mapa final'!$AD$49="Moderado"),CONCATENATE("R8C",'Mapa final'!$R$49),"")</f>
        <v/>
      </c>
      <c r="Y53" s="68" t="str">
        <f>IF(AND('Mapa final'!$AB$50="Muy Baja",'Mapa final'!$AD$50="Moderado"),CONCATENATE("R8C",'Mapa final'!$R$50),"")</f>
        <v/>
      </c>
      <c r="Z53" s="68" t="str">
        <f>IF(AND('Mapa final'!$AB$51="Muy Baja",'Mapa final'!$AD$51="Moderado"),CONCATENATE("R8C",'Mapa final'!$R$51),"")</f>
        <v/>
      </c>
      <c r="AA53" s="69" t="str">
        <f>IF(AND('Mapa final'!$AB$52="Muy Baja",'Mapa final'!$AD$52="Moderado"),CONCATENATE("R8C",'Mapa final'!$R$52),"")</f>
        <v/>
      </c>
      <c r="AB53" s="51" t="str">
        <f ca="1">IF(AND('Mapa final'!$AB$47="Muy Baja",'Mapa final'!$AD$47="Mayor"),CONCATENATE("R8C",'Mapa final'!$R$47),"")</f>
        <v/>
      </c>
      <c r="AC53" s="52" t="str">
        <f>IF(AND('Mapa final'!$AB$48="Muy Baja",'Mapa final'!$AD$48="Mayor"),CONCATENATE("R8C",'Mapa final'!$R$48),"")</f>
        <v/>
      </c>
      <c r="AD53" s="57" t="str">
        <f>IF(AND('Mapa final'!$AB$49="Muy Baja",'Mapa final'!$AD$49="Mayor"),CONCATENATE("R8C",'Mapa final'!$R$49),"")</f>
        <v/>
      </c>
      <c r="AE53" s="57" t="str">
        <f>IF(AND('Mapa final'!$AB$50="Muy Baja",'Mapa final'!$AD$50="Mayor"),CONCATENATE("R8C",'Mapa final'!$R$50),"")</f>
        <v/>
      </c>
      <c r="AF53" s="57" t="str">
        <f>IF(AND('Mapa final'!$AB$51="Muy Baja",'Mapa final'!$AD$51="Mayor"),CONCATENATE("R8C",'Mapa final'!$R$51),"")</f>
        <v/>
      </c>
      <c r="AG53" s="53" t="str">
        <f>IF(AND('Mapa final'!$AB$52="Muy Baja",'Mapa final'!$AD$52="Mayor"),CONCATENATE("R8C",'Mapa final'!$R$52),"")</f>
        <v/>
      </c>
      <c r="AH53" s="54" t="str">
        <f ca="1">IF(AND('Mapa final'!$AB$47="Muy Baja",'Mapa final'!$AD$47="Catastrófico"),CONCATENATE("R8C",'Mapa final'!$R$47),"")</f>
        <v/>
      </c>
      <c r="AI53" s="55" t="str">
        <f>IF(AND('Mapa final'!$AB$48="Muy Baja",'Mapa final'!$AD$48="Catastrófico"),CONCATENATE("R8C",'Mapa final'!$R$48),"")</f>
        <v/>
      </c>
      <c r="AJ53" s="55" t="str">
        <f>IF(AND('Mapa final'!$AB$49="Muy Baja",'Mapa final'!$AD$49="Catastrófico"),CONCATENATE("R8C",'Mapa final'!$R$49),"")</f>
        <v/>
      </c>
      <c r="AK53" s="55" t="str">
        <f>IF(AND('Mapa final'!$AB$50="Muy Baja",'Mapa final'!$AD$50="Catastrófico"),CONCATENATE("R8C",'Mapa final'!$R$50),"")</f>
        <v/>
      </c>
      <c r="AL53" s="55" t="str">
        <f>IF(AND('Mapa final'!$AB$51="Muy Baja",'Mapa final'!$AD$51="Catastrófico"),CONCATENATE("R8C",'Mapa final'!$R$51),"")</f>
        <v/>
      </c>
      <c r="AM53" s="56" t="str">
        <f>IF(AND('Mapa final'!$AB$52="Muy Baja",'Mapa final'!$AD$52="Catastrófico"),CONCATENATE("R8C",'Mapa final'!$R$52),"")</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4"/>
      <c r="C54" s="284"/>
      <c r="D54" s="285"/>
      <c r="E54" s="385"/>
      <c r="F54" s="386"/>
      <c r="G54" s="386"/>
      <c r="H54" s="386"/>
      <c r="I54" s="401"/>
      <c r="J54" s="76" t="str">
        <f ca="1">IF(AND('Mapa final'!$AB$59="Muy Baja",'Mapa final'!$AD$59="Leve"),CONCATENATE("R9C",'Mapa final'!$R$59),"")</f>
        <v/>
      </c>
      <c r="K54" s="77" t="str">
        <f ca="1">IF(AND('Mapa final'!$AB$60="Muy Baja",'Mapa final'!$AD$60="Leve"),CONCATENATE("R9C",'Mapa final'!$R$60),"")</f>
        <v/>
      </c>
      <c r="L54" s="77" t="str">
        <f>IF(AND('Mapa final'!$AB$61="Muy Baja",'Mapa final'!$AD$61="Leve"),CONCATENATE("R9C",'Mapa final'!$R$61),"")</f>
        <v/>
      </c>
      <c r="M54" s="77" t="str">
        <f>IF(AND('Mapa final'!$AB$62="Muy Baja",'Mapa final'!$AD$62="Leve"),CONCATENATE("R9C",'Mapa final'!$R$62),"")</f>
        <v/>
      </c>
      <c r="N54" s="77" t="str">
        <f>IF(AND('Mapa final'!$AB$63="Muy Baja",'Mapa final'!$AD$63="Leve"),CONCATENATE("R9C",'Mapa final'!$R$63),"")</f>
        <v/>
      </c>
      <c r="O54" s="78" t="str">
        <f>IF(AND('Mapa final'!$AB$70="Muy Baja",'Mapa final'!$AD$70="Leve"),CONCATENATE("R9C",'Mapa final'!$R$70),"")</f>
        <v/>
      </c>
      <c r="P54" s="76" t="str">
        <f ca="1">IF(AND('Mapa final'!$AB$59="Muy Baja",'Mapa final'!$AD$59="Menor"),CONCATENATE("R9C",'Mapa final'!$R$59),"")</f>
        <v/>
      </c>
      <c r="Q54" s="77" t="str">
        <f ca="1">IF(AND('Mapa final'!$AB$60="Muy Baja",'Mapa final'!$AD$60="Menor"),CONCATENATE("R9C",'Mapa final'!$R$60),"")</f>
        <v/>
      </c>
      <c r="R54" s="77" t="str">
        <f>IF(AND('Mapa final'!$AB$61="Muy Baja",'Mapa final'!$AD$61="Menor"),CONCATENATE("R9C",'Mapa final'!$R$61),"")</f>
        <v/>
      </c>
      <c r="S54" s="77" t="str">
        <f>IF(AND('Mapa final'!$AB$62="Muy Baja",'Mapa final'!$AD$62="Menor"),CONCATENATE("R9C",'Mapa final'!$R$62),"")</f>
        <v/>
      </c>
      <c r="T54" s="77" t="str">
        <f>IF(AND('Mapa final'!$AB$63="Muy Baja",'Mapa final'!$AD$63="Menor"),CONCATENATE("R9C",'Mapa final'!$R$63),"")</f>
        <v/>
      </c>
      <c r="U54" s="78" t="str">
        <f>IF(AND('Mapa final'!$AB$70="Muy Baja",'Mapa final'!$AD$70="Menor"),CONCATENATE("R9C",'Mapa final'!$R$70),"")</f>
        <v/>
      </c>
      <c r="V54" s="67" t="str">
        <f ca="1">IF(AND('Mapa final'!$AB$59="Muy Baja",'Mapa final'!$AD$59="Moderado"),CONCATENATE("R9C",'Mapa final'!$R$59),"")</f>
        <v/>
      </c>
      <c r="W54" s="68" t="str">
        <f ca="1">IF(AND('Mapa final'!$AB$60="Muy Baja",'Mapa final'!$AD$60="Moderado"),CONCATENATE("R9C",'Mapa final'!$R$60),"")</f>
        <v/>
      </c>
      <c r="X54" s="68" t="str">
        <f>IF(AND('Mapa final'!$AB$61="Muy Baja",'Mapa final'!$AD$61="Moderado"),CONCATENATE("R9C",'Mapa final'!$R$61),"")</f>
        <v/>
      </c>
      <c r="Y54" s="68" t="str">
        <f>IF(AND('Mapa final'!$AB$62="Muy Baja",'Mapa final'!$AD$62="Moderado"),CONCATENATE("R9C",'Mapa final'!$R$62),"")</f>
        <v/>
      </c>
      <c r="Z54" s="68" t="str">
        <f>IF(AND('Mapa final'!$AB$63="Muy Baja",'Mapa final'!$AD$63="Moderado"),CONCATENATE("R9C",'Mapa final'!$R$63),"")</f>
        <v/>
      </c>
      <c r="AA54" s="69" t="str">
        <f>IF(AND('Mapa final'!$AB$70="Muy Baja",'Mapa final'!$AD$70="Moderado"),CONCATENATE("R9C",'Mapa final'!$R$70),"")</f>
        <v/>
      </c>
      <c r="AB54" s="51" t="str">
        <f ca="1">IF(AND('Mapa final'!$AB$59="Muy Baja",'Mapa final'!$AD$59="Mayor"),CONCATENATE("R9C",'Mapa final'!$R$59),"")</f>
        <v/>
      </c>
      <c r="AC54" s="52" t="str">
        <f ca="1">IF(AND('Mapa final'!$AB$60="Muy Baja",'Mapa final'!$AD$60="Mayor"),CONCATENATE("R9C",'Mapa final'!$R$60),"")</f>
        <v/>
      </c>
      <c r="AD54" s="57" t="str">
        <f>IF(AND('Mapa final'!$AB$61="Muy Baja",'Mapa final'!$AD$61="Mayor"),CONCATENATE("R9C",'Mapa final'!$R$61),"")</f>
        <v/>
      </c>
      <c r="AE54" s="57" t="str">
        <f>IF(AND('Mapa final'!$AB$62="Muy Baja",'Mapa final'!$AD$62="Mayor"),CONCATENATE("R9C",'Mapa final'!$R$62),"")</f>
        <v/>
      </c>
      <c r="AF54" s="57" t="str">
        <f>IF(AND('Mapa final'!$AB$63="Muy Baja",'Mapa final'!$AD$63="Mayor"),CONCATENATE("R9C",'Mapa final'!$R$63),"")</f>
        <v/>
      </c>
      <c r="AG54" s="53" t="str">
        <f>IF(AND('Mapa final'!$AB$70="Muy Baja",'Mapa final'!$AD$70="Mayor"),CONCATENATE("R9C",'Mapa final'!$R$70),"")</f>
        <v/>
      </c>
      <c r="AH54" s="54" t="str">
        <f ca="1">IF(AND('Mapa final'!$AB$59="Muy Baja",'Mapa final'!$AD$59="Catastrófico"),CONCATENATE("R9C",'Mapa final'!$R$59),"")</f>
        <v/>
      </c>
      <c r="AI54" s="55" t="str">
        <f ca="1">IF(AND('Mapa final'!$AB$60="Muy Baja",'Mapa final'!$AD$60="Catastrófico"),CONCATENATE("R9C",'Mapa final'!$R$60),"")</f>
        <v/>
      </c>
      <c r="AJ54" s="55" t="str">
        <f>IF(AND('Mapa final'!$AB$61="Muy Baja",'Mapa final'!$AD$61="Catastrófico"),CONCATENATE("R9C",'Mapa final'!$R$61),"")</f>
        <v/>
      </c>
      <c r="AK54" s="55" t="str">
        <f>IF(AND('Mapa final'!$AB$62="Muy Baja",'Mapa final'!$AD$62="Catastrófico"),CONCATENATE("R9C",'Mapa final'!$R$62),"")</f>
        <v/>
      </c>
      <c r="AL54" s="55" t="str">
        <f>IF(AND('Mapa final'!$AB$63="Muy Baja",'Mapa final'!$AD$63="Catastrófico"),CONCATENATE("R9C",'Mapa final'!$R$63),"")</f>
        <v/>
      </c>
      <c r="AM54" s="56" t="str">
        <f>IF(AND('Mapa final'!$AB$70="Muy Baja",'Mapa final'!$AD$70="Catastrófico"),CONCATENATE("R9C",'Mapa final'!$R$70),"")</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4"/>
      <c r="C55" s="284"/>
      <c r="D55" s="285"/>
      <c r="E55" s="387"/>
      <c r="F55" s="388"/>
      <c r="G55" s="388"/>
      <c r="H55" s="388"/>
      <c r="I55" s="402"/>
      <c r="J55" s="79" t="str">
        <f ca="1">IF(AND('Mapa final'!$AB$71="Muy Baja",'Mapa final'!$AD$71="Leve"),CONCATENATE("R10C",'Mapa final'!$R$71),"")</f>
        <v/>
      </c>
      <c r="K55" s="80" t="str">
        <f ca="1">IF(AND('Mapa final'!$AB$72="Muy Baja",'Mapa final'!$AD$72="Leve"),CONCATENATE("R10C",'Mapa final'!$R$72),"")</f>
        <v/>
      </c>
      <c r="L55" s="80" t="str">
        <f ca="1">IF(AND('Mapa final'!$AB$73="Muy Baja",'Mapa final'!$AD$73="Leve"),CONCATENATE("R10C",'Mapa final'!$R$73),"")</f>
        <v/>
      </c>
      <c r="M55" s="80" t="str">
        <f>IF(AND('Mapa final'!$AB$74="Muy Baja",'Mapa final'!$AD$74="Leve"),CONCATENATE("R10C",'Mapa final'!$R$74),"")</f>
        <v/>
      </c>
      <c r="N55" s="80" t="str">
        <f>IF(AND('Mapa final'!$AB$75="Muy Baja",'Mapa final'!$AD$75="Leve"),CONCATENATE("R10C",'Mapa final'!$R$75),"")</f>
        <v/>
      </c>
      <c r="O55" s="81" t="str">
        <f>IF(AND('Mapa final'!$AB$76="Muy Baja",'Mapa final'!$AD$76="Leve"),CONCATENATE("R10C",'Mapa final'!$R$76),"")</f>
        <v/>
      </c>
      <c r="P55" s="79" t="str">
        <f ca="1">IF(AND('Mapa final'!$AB$71="Muy Baja",'Mapa final'!$AD$71="Menor"),CONCATENATE("R10C",'Mapa final'!$R$71),"")</f>
        <v/>
      </c>
      <c r="Q55" s="80" t="str">
        <f ca="1">IF(AND('Mapa final'!$AB$72="Muy Baja",'Mapa final'!$AD$72="Menor"),CONCATENATE("R10C",'Mapa final'!$R$72),"")</f>
        <v/>
      </c>
      <c r="R55" s="80" t="str">
        <f ca="1">IF(AND('Mapa final'!$AB$73="Muy Baja",'Mapa final'!$AD$73="Menor"),CONCATENATE("R10C",'Mapa final'!$R$73),"")</f>
        <v>R10C3</v>
      </c>
      <c r="S55" s="80" t="str">
        <f>IF(AND('Mapa final'!$AB$74="Muy Baja",'Mapa final'!$AD$74="Menor"),CONCATENATE("R10C",'Mapa final'!$R$74),"")</f>
        <v/>
      </c>
      <c r="T55" s="80" t="str">
        <f>IF(AND('Mapa final'!$AB$75="Muy Baja",'Mapa final'!$AD$75="Menor"),CONCATENATE("R10C",'Mapa final'!$R$75),"")</f>
        <v/>
      </c>
      <c r="U55" s="81" t="str">
        <f>IF(AND('Mapa final'!$AB$76="Muy Baja",'Mapa final'!$AD$76="Menor"),CONCATENATE("R10C",'Mapa final'!$R$76),"")</f>
        <v/>
      </c>
      <c r="V55" s="70" t="str">
        <f ca="1">IF(AND('Mapa final'!$AB$71="Muy Baja",'Mapa final'!$AD$71="Moderado"),CONCATENATE("R10C",'Mapa final'!$R$71),"")</f>
        <v/>
      </c>
      <c r="W55" s="71" t="str">
        <f ca="1">IF(AND('Mapa final'!$AB$72="Muy Baja",'Mapa final'!$AD$72="Moderado"),CONCATENATE("R10C",'Mapa final'!$R$72),"")</f>
        <v/>
      </c>
      <c r="X55" s="71" t="str">
        <f ca="1">IF(AND('Mapa final'!$AB$73="Muy Baja",'Mapa final'!$AD$73="Moderado"),CONCATENATE("R10C",'Mapa final'!$R$73),"")</f>
        <v/>
      </c>
      <c r="Y55" s="71" t="str">
        <f>IF(AND('Mapa final'!$AB$74="Muy Baja",'Mapa final'!$AD$74="Moderado"),CONCATENATE("R10C",'Mapa final'!$R$74),"")</f>
        <v/>
      </c>
      <c r="Z55" s="71" t="str">
        <f>IF(AND('Mapa final'!$AB$75="Muy Baja",'Mapa final'!$AD$75="Moderado"),CONCATENATE("R10C",'Mapa final'!$R$75),"")</f>
        <v/>
      </c>
      <c r="AA55" s="72" t="str">
        <f>IF(AND('Mapa final'!$AB$76="Muy Baja",'Mapa final'!$AD$76="Moderado"),CONCATENATE("R10C",'Mapa final'!$R$76),"")</f>
        <v/>
      </c>
      <c r="AB55" s="58" t="str">
        <f ca="1">IF(AND('Mapa final'!$AB$71="Muy Baja",'Mapa final'!$AD$71="Mayor"),CONCATENATE("R10C",'Mapa final'!$R$71),"")</f>
        <v/>
      </c>
      <c r="AC55" s="59" t="str">
        <f ca="1">IF(AND('Mapa final'!$AB$72="Muy Baja",'Mapa final'!$AD$72="Mayor"),CONCATENATE("R10C",'Mapa final'!$R$72),"")</f>
        <v/>
      </c>
      <c r="AD55" s="59" t="str">
        <f ca="1">IF(AND('Mapa final'!$AB$73="Muy Baja",'Mapa final'!$AD$73="Mayor"),CONCATENATE("R10C",'Mapa final'!$R$73),"")</f>
        <v/>
      </c>
      <c r="AE55" s="59" t="str">
        <f>IF(AND('Mapa final'!$AB$74="Muy Baja",'Mapa final'!$AD$74="Mayor"),CONCATENATE("R10C",'Mapa final'!$R$74),"")</f>
        <v/>
      </c>
      <c r="AF55" s="59" t="str">
        <f>IF(AND('Mapa final'!$AB$75="Muy Baja",'Mapa final'!$AD$75="Mayor"),CONCATENATE("R10C",'Mapa final'!$R$75),"")</f>
        <v/>
      </c>
      <c r="AG55" s="60" t="str">
        <f>IF(AND('Mapa final'!$AB$76="Muy Baja",'Mapa final'!$AD$76="Mayor"),CONCATENATE("R10C",'Mapa final'!$R$76),"")</f>
        <v/>
      </c>
      <c r="AH55" s="61" t="str">
        <f ca="1">IF(AND('Mapa final'!$AB$71="Muy Baja",'Mapa final'!$AD$71="Catastrófico"),CONCATENATE("R10C",'Mapa final'!$R$71),"")</f>
        <v/>
      </c>
      <c r="AI55" s="62" t="str">
        <f ca="1">IF(AND('Mapa final'!$AB$72="Muy Baja",'Mapa final'!$AD$72="Catastrófico"),CONCATENATE("R10C",'Mapa final'!$R$72),"")</f>
        <v/>
      </c>
      <c r="AJ55" s="62" t="str">
        <f ca="1">IF(AND('Mapa final'!$AB$73="Muy Baja",'Mapa final'!$AD$73="Catastrófico"),CONCATENATE("R10C",'Mapa final'!$R$73),"")</f>
        <v/>
      </c>
      <c r="AK55" s="62" t="str">
        <f>IF(AND('Mapa final'!$AB$74="Muy Baja",'Mapa final'!$AD$74="Catastrófico"),CONCATENATE("R10C",'Mapa final'!$R$74),"")</f>
        <v/>
      </c>
      <c r="AL55" s="62" t="str">
        <f>IF(AND('Mapa final'!$AB$75="Muy Baja",'Mapa final'!$AD$75="Catastrófico"),CONCATENATE("R10C",'Mapa final'!$R$75),"")</f>
        <v/>
      </c>
      <c r="AM55" s="63" t="str">
        <f>IF(AND('Mapa final'!$AB$76="Muy Baja",'Mapa final'!$AD$76="Catastrófico"),CONCATENATE("R10C",'Mapa final'!$R$76),"")</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81" t="s">
        <v>104</v>
      </c>
      <c r="K56" s="382"/>
      <c r="L56" s="382"/>
      <c r="M56" s="382"/>
      <c r="N56" s="382"/>
      <c r="O56" s="400"/>
      <c r="P56" s="381" t="s">
        <v>103</v>
      </c>
      <c r="Q56" s="382"/>
      <c r="R56" s="382"/>
      <c r="S56" s="382"/>
      <c r="T56" s="382"/>
      <c r="U56" s="400"/>
      <c r="V56" s="381" t="s">
        <v>102</v>
      </c>
      <c r="W56" s="382"/>
      <c r="X56" s="382"/>
      <c r="Y56" s="382"/>
      <c r="Z56" s="382"/>
      <c r="AA56" s="400"/>
      <c r="AB56" s="381" t="s">
        <v>101</v>
      </c>
      <c r="AC56" s="421"/>
      <c r="AD56" s="382"/>
      <c r="AE56" s="382"/>
      <c r="AF56" s="382"/>
      <c r="AG56" s="400"/>
      <c r="AH56" s="381" t="s">
        <v>100</v>
      </c>
      <c r="AI56" s="382"/>
      <c r="AJ56" s="382"/>
      <c r="AK56" s="382"/>
      <c r="AL56" s="382"/>
      <c r="AM56" s="40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85"/>
      <c r="K57" s="386"/>
      <c r="L57" s="386"/>
      <c r="M57" s="386"/>
      <c r="N57" s="386"/>
      <c r="O57" s="401"/>
      <c r="P57" s="385"/>
      <c r="Q57" s="386"/>
      <c r="R57" s="386"/>
      <c r="S57" s="386"/>
      <c r="T57" s="386"/>
      <c r="U57" s="401"/>
      <c r="V57" s="385"/>
      <c r="W57" s="386"/>
      <c r="X57" s="386"/>
      <c r="Y57" s="386"/>
      <c r="Z57" s="386"/>
      <c r="AA57" s="401"/>
      <c r="AB57" s="385"/>
      <c r="AC57" s="386"/>
      <c r="AD57" s="386"/>
      <c r="AE57" s="386"/>
      <c r="AF57" s="386"/>
      <c r="AG57" s="401"/>
      <c r="AH57" s="385"/>
      <c r="AI57" s="386"/>
      <c r="AJ57" s="386"/>
      <c r="AK57" s="386"/>
      <c r="AL57" s="386"/>
      <c r="AM57" s="40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85"/>
      <c r="K58" s="386"/>
      <c r="L58" s="386"/>
      <c r="M58" s="386"/>
      <c r="N58" s="386"/>
      <c r="O58" s="401"/>
      <c r="P58" s="385"/>
      <c r="Q58" s="386"/>
      <c r="R58" s="386"/>
      <c r="S58" s="386"/>
      <c r="T58" s="386"/>
      <c r="U58" s="401"/>
      <c r="V58" s="385"/>
      <c r="W58" s="386"/>
      <c r="X58" s="386"/>
      <c r="Y58" s="386"/>
      <c r="Z58" s="386"/>
      <c r="AA58" s="401"/>
      <c r="AB58" s="385"/>
      <c r="AC58" s="386"/>
      <c r="AD58" s="386"/>
      <c r="AE58" s="386"/>
      <c r="AF58" s="386"/>
      <c r="AG58" s="401"/>
      <c r="AH58" s="385"/>
      <c r="AI58" s="386"/>
      <c r="AJ58" s="386"/>
      <c r="AK58" s="386"/>
      <c r="AL58" s="386"/>
      <c r="AM58" s="40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85"/>
      <c r="K59" s="386"/>
      <c r="L59" s="386"/>
      <c r="M59" s="386"/>
      <c r="N59" s="386"/>
      <c r="O59" s="401"/>
      <c r="P59" s="385"/>
      <c r="Q59" s="386"/>
      <c r="R59" s="386"/>
      <c r="S59" s="386"/>
      <c r="T59" s="386"/>
      <c r="U59" s="401"/>
      <c r="V59" s="385"/>
      <c r="W59" s="386"/>
      <c r="X59" s="386"/>
      <c r="Y59" s="386"/>
      <c r="Z59" s="386"/>
      <c r="AA59" s="401"/>
      <c r="AB59" s="385"/>
      <c r="AC59" s="386"/>
      <c r="AD59" s="386"/>
      <c r="AE59" s="386"/>
      <c r="AF59" s="386"/>
      <c r="AG59" s="401"/>
      <c r="AH59" s="385"/>
      <c r="AI59" s="386"/>
      <c r="AJ59" s="386"/>
      <c r="AK59" s="386"/>
      <c r="AL59" s="386"/>
      <c r="AM59" s="40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85"/>
      <c r="K60" s="386"/>
      <c r="L60" s="386"/>
      <c r="M60" s="386"/>
      <c r="N60" s="386"/>
      <c r="O60" s="401"/>
      <c r="P60" s="385"/>
      <c r="Q60" s="386"/>
      <c r="R60" s="386"/>
      <c r="S60" s="386"/>
      <c r="T60" s="386"/>
      <c r="U60" s="401"/>
      <c r="V60" s="385"/>
      <c r="W60" s="386"/>
      <c r="X60" s="386"/>
      <c r="Y60" s="386"/>
      <c r="Z60" s="386"/>
      <c r="AA60" s="401"/>
      <c r="AB60" s="385"/>
      <c r="AC60" s="386"/>
      <c r="AD60" s="386"/>
      <c r="AE60" s="386"/>
      <c r="AF60" s="386"/>
      <c r="AG60" s="401"/>
      <c r="AH60" s="385"/>
      <c r="AI60" s="386"/>
      <c r="AJ60" s="386"/>
      <c r="AK60" s="386"/>
      <c r="AL60" s="386"/>
      <c r="AM60" s="40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87"/>
      <c r="K61" s="388"/>
      <c r="L61" s="388"/>
      <c r="M61" s="388"/>
      <c r="N61" s="388"/>
      <c r="O61" s="402"/>
      <c r="P61" s="387"/>
      <c r="Q61" s="388"/>
      <c r="R61" s="388"/>
      <c r="S61" s="388"/>
      <c r="T61" s="388"/>
      <c r="U61" s="402"/>
      <c r="V61" s="387"/>
      <c r="W61" s="388"/>
      <c r="X61" s="388"/>
      <c r="Y61" s="388"/>
      <c r="Z61" s="388"/>
      <c r="AA61" s="402"/>
      <c r="AB61" s="387"/>
      <c r="AC61" s="388"/>
      <c r="AD61" s="388"/>
      <c r="AE61" s="388"/>
      <c r="AF61" s="388"/>
      <c r="AG61" s="402"/>
      <c r="AH61" s="387"/>
      <c r="AI61" s="388"/>
      <c r="AJ61" s="388"/>
      <c r="AK61" s="388"/>
      <c r="AL61" s="388"/>
      <c r="AM61" s="40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B8" sqref="B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422" t="s">
        <v>53</v>
      </c>
      <c r="C1" s="422"/>
      <c r="D1" s="42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0"/>
      <c r="C3" s="11" t="s">
        <v>50</v>
      </c>
      <c r="D3" s="11" t="s">
        <v>3</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2" t="s">
        <v>49</v>
      </c>
      <c r="C4" s="13" t="s">
        <v>205</v>
      </c>
      <c r="D4" s="14">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5" t="s">
        <v>51</v>
      </c>
      <c r="C5" s="16" t="s">
        <v>206</v>
      </c>
      <c r="D5" s="17">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8" t="s">
        <v>99</v>
      </c>
      <c r="C6" s="16" t="s">
        <v>207</v>
      </c>
      <c r="D6" s="17">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19" t="s">
        <v>5</v>
      </c>
      <c r="C7" s="16" t="s">
        <v>208</v>
      </c>
      <c r="D7" s="17">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0" t="s">
        <v>52</v>
      </c>
      <c r="C8" s="16" t="s">
        <v>209</v>
      </c>
      <c r="D8" s="17">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8"/>
  <sheetViews>
    <sheetView zoomScale="60" zoomScaleNormal="60" workbookViewId="0">
      <selection activeCell="A210" sqref="A210"/>
    </sheetView>
  </sheetViews>
  <sheetFormatPr baseColWidth="10" defaultRowHeight="15" x14ac:dyDescent="0.25"/>
  <cols>
    <col min="2" max="2" width="40.42578125" customWidth="1"/>
    <col min="3" max="3" width="74.85546875" customWidth="1"/>
    <col min="4" max="4" width="126.42578125" bestFit="1" customWidth="1"/>
    <col min="5" max="5" width="12.42578125" bestFit="1" customWidth="1"/>
    <col min="6" max="6" width="144.7109375" bestFit="1" customWidth="1"/>
    <col min="7" max="7" width="47.140625" bestFit="1" customWidth="1"/>
    <col min="8" max="8" width="125.140625" bestFit="1" customWidth="1"/>
    <col min="9" max="9" width="146.28515625" bestFit="1" customWidth="1"/>
    <col min="10" max="10" width="52.140625" bestFit="1" customWidth="1"/>
    <col min="11" max="11" width="147.42578125" bestFit="1" customWidth="1"/>
    <col min="12" max="12" width="16.42578125" bestFit="1" customWidth="1"/>
  </cols>
  <sheetData>
    <row r="1" spans="1:21" ht="33.75" x14ac:dyDescent="0.25">
      <c r="A1" s="83"/>
      <c r="B1" s="423" t="s">
        <v>61</v>
      </c>
      <c r="C1" s="423"/>
      <c r="D1" s="42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5" t="s">
        <v>54</v>
      </c>
      <c r="D3" s="35" t="s">
        <v>55</v>
      </c>
      <c r="E3" s="83"/>
      <c r="F3" s="83"/>
      <c r="G3" s="83"/>
      <c r="H3" s="83"/>
      <c r="I3" s="83"/>
      <c r="J3" s="83"/>
      <c r="K3" s="83"/>
      <c r="L3" s="83"/>
      <c r="M3" s="83"/>
      <c r="N3" s="83"/>
      <c r="O3" s="83"/>
      <c r="P3" s="83"/>
      <c r="Q3" s="83"/>
      <c r="R3" s="83"/>
      <c r="S3" s="83"/>
      <c r="T3" s="83"/>
      <c r="U3" s="83"/>
    </row>
    <row r="4" spans="1:21" ht="33.75" x14ac:dyDescent="0.25">
      <c r="A4" s="103" t="s">
        <v>80</v>
      </c>
      <c r="B4" s="38" t="s">
        <v>98</v>
      </c>
      <c r="C4" s="43" t="s">
        <v>140</v>
      </c>
      <c r="D4" s="36" t="s">
        <v>94</v>
      </c>
      <c r="E4" s="83"/>
      <c r="F4" s="83"/>
      <c r="G4" s="83"/>
      <c r="H4" s="83"/>
      <c r="I4" s="83"/>
      <c r="J4" s="83"/>
      <c r="K4" s="83"/>
      <c r="L4" s="83"/>
      <c r="M4" s="83"/>
      <c r="N4" s="83"/>
      <c r="O4" s="83"/>
      <c r="P4" s="83"/>
      <c r="Q4" s="83"/>
      <c r="R4" s="83"/>
      <c r="S4" s="83"/>
      <c r="T4" s="83"/>
      <c r="U4" s="83"/>
    </row>
    <row r="5" spans="1:21" ht="101.25" x14ac:dyDescent="0.25">
      <c r="A5" s="103" t="s">
        <v>81</v>
      </c>
      <c r="B5" s="39" t="s">
        <v>57</v>
      </c>
      <c r="C5" s="44" t="s">
        <v>90</v>
      </c>
      <c r="D5" s="37" t="s">
        <v>95</v>
      </c>
      <c r="E5" s="83"/>
      <c r="F5" s="83"/>
      <c r="G5" s="83"/>
      <c r="H5" s="83"/>
      <c r="I5" s="83"/>
      <c r="J5" s="83"/>
      <c r="K5" s="83"/>
      <c r="L5" s="83"/>
      <c r="M5" s="83"/>
      <c r="N5" s="83"/>
      <c r="O5" s="83"/>
      <c r="P5" s="83"/>
      <c r="Q5" s="83"/>
      <c r="R5" s="83"/>
      <c r="S5" s="83"/>
      <c r="T5" s="83"/>
      <c r="U5" s="83"/>
    </row>
    <row r="6" spans="1:21" ht="67.5" x14ac:dyDescent="0.25">
      <c r="A6" s="103" t="s">
        <v>78</v>
      </c>
      <c r="B6" s="40" t="s">
        <v>58</v>
      </c>
      <c r="C6" s="44" t="s">
        <v>91</v>
      </c>
      <c r="D6" s="37" t="s">
        <v>97</v>
      </c>
      <c r="E6" s="83"/>
      <c r="F6" s="83"/>
      <c r="G6" s="83"/>
      <c r="H6" s="83"/>
      <c r="I6" s="83"/>
      <c r="J6" s="83"/>
      <c r="K6" s="83"/>
      <c r="L6" s="83"/>
      <c r="M6" s="83"/>
      <c r="N6" s="83"/>
      <c r="O6" s="83"/>
      <c r="P6" s="83"/>
      <c r="Q6" s="83"/>
      <c r="R6" s="83"/>
      <c r="S6" s="83"/>
      <c r="T6" s="83"/>
      <c r="U6" s="83"/>
    </row>
    <row r="7" spans="1:21" ht="101.25" x14ac:dyDescent="0.25">
      <c r="A7" s="103" t="s">
        <v>6</v>
      </c>
      <c r="B7" s="41" t="s">
        <v>59</v>
      </c>
      <c r="C7" s="44" t="s">
        <v>92</v>
      </c>
      <c r="D7" s="37" t="s">
        <v>96</v>
      </c>
      <c r="E7" s="83"/>
      <c r="F7" s="83"/>
      <c r="G7" s="83"/>
      <c r="H7" s="83"/>
      <c r="I7" s="83"/>
      <c r="J7" s="83"/>
      <c r="K7" s="83"/>
      <c r="L7" s="83"/>
      <c r="M7" s="83"/>
      <c r="N7" s="83"/>
      <c r="O7" s="83"/>
      <c r="P7" s="83"/>
      <c r="Q7" s="83"/>
      <c r="R7" s="83"/>
      <c r="S7" s="83"/>
      <c r="T7" s="83"/>
      <c r="U7" s="83"/>
    </row>
    <row r="8" spans="1:21" ht="67.5" x14ac:dyDescent="0.25">
      <c r="A8" s="103" t="s">
        <v>82</v>
      </c>
      <c r="B8" s="42" t="s">
        <v>60</v>
      </c>
      <c r="C8" s="44" t="s">
        <v>93</v>
      </c>
      <c r="D8" s="37" t="s">
        <v>110</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88</v>
      </c>
      <c r="C11" s="103" t="s">
        <v>128</v>
      </c>
      <c r="D11" s="103" t="s">
        <v>135</v>
      </c>
      <c r="E11" s="83"/>
      <c r="F11" s="83"/>
      <c r="G11" s="83"/>
      <c r="H11" s="83"/>
      <c r="I11" s="83"/>
      <c r="J11" s="83"/>
      <c r="K11" s="83"/>
      <c r="L11" s="83"/>
      <c r="M11" s="83"/>
      <c r="N11" s="83"/>
      <c r="O11" s="83"/>
      <c r="P11" s="83"/>
      <c r="Q11" s="83"/>
      <c r="R11" s="83"/>
      <c r="S11" s="83"/>
      <c r="T11" s="83"/>
      <c r="U11" s="83"/>
    </row>
    <row r="12" spans="1:21" x14ac:dyDescent="0.25">
      <c r="A12" s="103"/>
      <c r="B12" s="103" t="s">
        <v>86</v>
      </c>
      <c r="C12" s="103" t="s">
        <v>132</v>
      </c>
      <c r="D12" s="103" t="s">
        <v>136</v>
      </c>
      <c r="E12" s="83"/>
      <c r="F12" s="83"/>
      <c r="G12" s="83"/>
      <c r="H12" s="83"/>
      <c r="I12" s="83"/>
      <c r="J12" s="83"/>
      <c r="K12" s="83"/>
      <c r="L12" s="83"/>
      <c r="M12" s="83"/>
      <c r="N12" s="83"/>
      <c r="O12" s="83"/>
      <c r="P12" s="83"/>
      <c r="Q12" s="83"/>
      <c r="R12" s="83"/>
      <c r="S12" s="83"/>
      <c r="T12" s="83"/>
      <c r="U12" s="83"/>
    </row>
    <row r="13" spans="1:21" x14ac:dyDescent="0.25">
      <c r="A13" s="103"/>
      <c r="B13" s="103"/>
      <c r="C13" s="103" t="s">
        <v>131</v>
      </c>
      <c r="D13" s="103" t="s">
        <v>137</v>
      </c>
      <c r="E13" s="83"/>
      <c r="F13" s="83"/>
      <c r="G13" s="83"/>
      <c r="H13" s="83"/>
      <c r="I13" s="83"/>
      <c r="J13" s="83"/>
      <c r="K13" s="83"/>
      <c r="L13" s="83"/>
      <c r="M13" s="83"/>
      <c r="N13" s="83"/>
      <c r="O13" s="83"/>
      <c r="P13" s="83"/>
      <c r="Q13" s="83"/>
      <c r="R13" s="83"/>
      <c r="S13" s="83"/>
      <c r="T13" s="83"/>
      <c r="U13" s="83"/>
    </row>
    <row r="14" spans="1:21" x14ac:dyDescent="0.25">
      <c r="A14" s="103"/>
      <c r="B14" s="103"/>
      <c r="C14" s="103" t="s">
        <v>133</v>
      </c>
      <c r="D14" s="103" t="s">
        <v>138</v>
      </c>
      <c r="E14" s="83"/>
      <c r="F14" s="83"/>
      <c r="G14" s="83"/>
      <c r="H14" s="83"/>
      <c r="I14" s="83"/>
      <c r="J14" s="83"/>
      <c r="K14" s="83"/>
      <c r="L14" s="83"/>
      <c r="M14" s="83"/>
      <c r="N14" s="83"/>
      <c r="O14" s="83"/>
      <c r="P14" s="83"/>
      <c r="Q14" s="83"/>
      <c r="R14" s="83"/>
      <c r="S14" s="83"/>
      <c r="T14" s="83"/>
      <c r="U14" s="83"/>
    </row>
    <row r="15" spans="1:21" x14ac:dyDescent="0.25">
      <c r="A15" s="103"/>
      <c r="B15" s="103"/>
      <c r="C15" s="103" t="s">
        <v>134</v>
      </c>
      <c r="D15" s="103" t="s">
        <v>139</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2"/>
      <c r="C52" s="33"/>
      <c r="D52" s="33"/>
    </row>
    <row r="53" spans="1:15" ht="20.25" x14ac:dyDescent="0.25">
      <c r="A53" s="103"/>
      <c r="B53" s="22"/>
      <c r="C53" s="33"/>
      <c r="D53" s="33"/>
    </row>
    <row r="54" spans="1:15" ht="20.25" x14ac:dyDescent="0.25">
      <c r="A54" s="103"/>
      <c r="B54" s="22"/>
      <c r="C54" s="33"/>
      <c r="D54" s="33"/>
    </row>
    <row r="55" spans="1:15" ht="20.25" x14ac:dyDescent="0.25">
      <c r="A55" s="103"/>
      <c r="B55" s="22"/>
      <c r="C55" s="33"/>
      <c r="D55" s="33"/>
    </row>
    <row r="56" spans="1:15" ht="20.25" x14ac:dyDescent="0.25">
      <c r="A56" s="103"/>
      <c r="B56" s="22"/>
      <c r="C56" s="33"/>
      <c r="D56" s="33"/>
    </row>
    <row r="57" spans="1:15" ht="20.25" x14ac:dyDescent="0.25">
      <c r="A57" s="103"/>
      <c r="B57" s="22"/>
      <c r="C57" s="33"/>
      <c r="D57" s="33"/>
    </row>
    <row r="58" spans="1:15" ht="20.25" x14ac:dyDescent="0.25">
      <c r="A58" s="103"/>
      <c r="B58" s="22"/>
      <c r="C58" s="33"/>
      <c r="D58" s="33"/>
    </row>
    <row r="59" spans="1:15" ht="20.25" x14ac:dyDescent="0.25">
      <c r="A59" s="103"/>
      <c r="B59" s="22"/>
      <c r="C59" s="33"/>
      <c r="D59" s="33"/>
    </row>
    <row r="60" spans="1:15" ht="20.25" x14ac:dyDescent="0.25">
      <c r="A60" s="103"/>
      <c r="B60" s="22"/>
      <c r="C60" s="33"/>
      <c r="D60" s="33"/>
    </row>
    <row r="61" spans="1:15" ht="20.25" x14ac:dyDescent="0.25">
      <c r="A61" s="103"/>
      <c r="B61" s="22"/>
      <c r="C61" s="33"/>
      <c r="D61" s="33"/>
    </row>
    <row r="62" spans="1:15" ht="20.25" x14ac:dyDescent="0.25">
      <c r="A62" s="103"/>
      <c r="B62" s="22"/>
      <c r="C62" s="33"/>
      <c r="D62" s="33"/>
    </row>
    <row r="63" spans="1:15" ht="20.25" x14ac:dyDescent="0.25">
      <c r="A63" s="103"/>
      <c r="B63" s="22"/>
      <c r="C63" s="33"/>
      <c r="D63" s="33"/>
    </row>
    <row r="64" spans="1:15" ht="20.25" x14ac:dyDescent="0.25">
      <c r="A64" s="103"/>
      <c r="B64" s="22"/>
      <c r="C64" s="33"/>
      <c r="D64" s="33"/>
    </row>
    <row r="65" spans="1:4" ht="20.25" x14ac:dyDescent="0.25">
      <c r="A65" s="103"/>
      <c r="B65" s="22"/>
      <c r="C65" s="33"/>
      <c r="D65" s="33"/>
    </row>
    <row r="66" spans="1:4" ht="20.25" x14ac:dyDescent="0.25">
      <c r="A66" s="103"/>
      <c r="B66" s="22"/>
      <c r="C66" s="33"/>
      <c r="D66" s="33"/>
    </row>
    <row r="67" spans="1:4" ht="20.25" x14ac:dyDescent="0.25">
      <c r="A67" s="103"/>
      <c r="B67" s="22"/>
      <c r="C67" s="33"/>
      <c r="D67" s="33"/>
    </row>
    <row r="68" spans="1:4" ht="20.25" x14ac:dyDescent="0.25">
      <c r="A68" s="103"/>
      <c r="B68" s="22"/>
      <c r="C68" s="33"/>
      <c r="D68" s="33"/>
    </row>
    <row r="69" spans="1:4" ht="20.25" x14ac:dyDescent="0.25">
      <c r="A69" s="103"/>
      <c r="B69" s="22"/>
      <c r="C69" s="33"/>
      <c r="D69" s="33"/>
    </row>
    <row r="70" spans="1:4" ht="20.25" x14ac:dyDescent="0.25">
      <c r="A70" s="103"/>
      <c r="B70" s="22"/>
      <c r="C70" s="33"/>
      <c r="D70" s="33"/>
    </row>
    <row r="71" spans="1:4" ht="20.25" x14ac:dyDescent="0.25">
      <c r="A71" s="103"/>
      <c r="B71" s="22"/>
      <c r="C71" s="33"/>
      <c r="D71" s="33"/>
    </row>
    <row r="72" spans="1:4" ht="20.25" x14ac:dyDescent="0.25">
      <c r="A72" s="103"/>
      <c r="B72" s="22"/>
      <c r="C72" s="33"/>
      <c r="D72" s="33"/>
    </row>
    <row r="73" spans="1:4" ht="20.25" x14ac:dyDescent="0.25">
      <c r="A73" s="103"/>
      <c r="B73" s="22"/>
      <c r="C73" s="33"/>
      <c r="D73" s="33"/>
    </row>
    <row r="74" spans="1:4" ht="20.25" x14ac:dyDescent="0.25">
      <c r="A74" s="103"/>
      <c r="B74" s="22"/>
      <c r="C74" s="33"/>
      <c r="D74" s="33"/>
    </row>
    <row r="75" spans="1:4" ht="20.25" x14ac:dyDescent="0.25">
      <c r="A75" s="103"/>
      <c r="B75" s="22"/>
      <c r="C75" s="33"/>
      <c r="D75" s="33"/>
    </row>
    <row r="76" spans="1:4" ht="20.25" x14ac:dyDescent="0.25">
      <c r="A76" s="103"/>
      <c r="B76" s="22"/>
      <c r="C76" s="33"/>
      <c r="D76" s="33"/>
    </row>
    <row r="77" spans="1:4" ht="20.25" x14ac:dyDescent="0.25">
      <c r="A77" s="103"/>
      <c r="B77" s="22"/>
      <c r="C77" s="33"/>
      <c r="D77" s="33"/>
    </row>
    <row r="78" spans="1:4" ht="20.25" x14ac:dyDescent="0.25">
      <c r="A78" s="103"/>
      <c r="B78" s="22"/>
      <c r="C78" s="33"/>
      <c r="D78" s="33"/>
    </row>
    <row r="79" spans="1:4" ht="20.25" x14ac:dyDescent="0.25">
      <c r="A79" s="103"/>
      <c r="B79" s="22"/>
      <c r="C79" s="33"/>
      <c r="D79" s="33"/>
    </row>
    <row r="80" spans="1:4" ht="20.25" x14ac:dyDescent="0.25">
      <c r="A80" s="103"/>
      <c r="B80" s="22"/>
      <c r="C80" s="33"/>
      <c r="D80" s="33"/>
    </row>
    <row r="81" spans="1:4" ht="20.25" x14ac:dyDescent="0.25">
      <c r="A81" s="103"/>
      <c r="B81" s="22"/>
      <c r="C81" s="33"/>
      <c r="D81" s="33"/>
    </row>
    <row r="82" spans="1:4" ht="20.25" x14ac:dyDescent="0.25">
      <c r="A82" s="103"/>
      <c r="B82" s="22"/>
      <c r="C82" s="33"/>
      <c r="D82" s="33"/>
    </row>
    <row r="83" spans="1:4" ht="20.25" x14ac:dyDescent="0.25">
      <c r="A83" s="103"/>
      <c r="B83" s="22"/>
      <c r="C83" s="33"/>
      <c r="D83" s="33"/>
    </row>
    <row r="84" spans="1:4" ht="20.25" x14ac:dyDescent="0.25">
      <c r="A84" s="103"/>
      <c r="B84" s="22"/>
      <c r="C84" s="33"/>
      <c r="D84" s="33"/>
    </row>
    <row r="85" spans="1:4" ht="20.25" x14ac:dyDescent="0.25">
      <c r="A85" s="103"/>
      <c r="B85" s="22"/>
      <c r="C85" s="33"/>
      <c r="D85" s="33"/>
    </row>
    <row r="86" spans="1:4" ht="20.25" x14ac:dyDescent="0.25">
      <c r="A86" s="103"/>
      <c r="B86" s="22"/>
      <c r="C86" s="33"/>
      <c r="D86" s="33"/>
    </row>
    <row r="87" spans="1:4" ht="20.25" x14ac:dyDescent="0.25">
      <c r="A87" s="103"/>
      <c r="B87" s="22"/>
      <c r="C87" s="33"/>
      <c r="D87" s="33"/>
    </row>
    <row r="88" spans="1:4" ht="20.25" x14ac:dyDescent="0.25">
      <c r="A88" s="103"/>
      <c r="B88" s="22"/>
      <c r="C88" s="33"/>
      <c r="D88" s="33"/>
    </row>
    <row r="89" spans="1:4" ht="20.25" x14ac:dyDescent="0.25">
      <c r="A89" s="103"/>
      <c r="B89" s="22"/>
      <c r="C89" s="33"/>
      <c r="D89" s="33"/>
    </row>
    <row r="90" spans="1:4" ht="20.25" x14ac:dyDescent="0.25">
      <c r="A90" s="103"/>
      <c r="B90" s="22"/>
      <c r="C90" s="33"/>
      <c r="D90" s="33"/>
    </row>
    <row r="91" spans="1:4" ht="20.25" x14ac:dyDescent="0.25">
      <c r="A91" s="103"/>
      <c r="B91" s="22"/>
      <c r="C91" s="33"/>
      <c r="D91" s="33"/>
    </row>
    <row r="92" spans="1:4" ht="20.25" x14ac:dyDescent="0.25">
      <c r="A92" s="103"/>
      <c r="B92" s="22"/>
      <c r="C92" s="33"/>
      <c r="D92" s="33"/>
    </row>
    <row r="93" spans="1:4" ht="20.25" x14ac:dyDescent="0.25">
      <c r="A93" s="103"/>
      <c r="B93" s="22"/>
      <c r="C93" s="33"/>
      <c r="D93" s="33"/>
    </row>
    <row r="94" spans="1:4" ht="20.25" x14ac:dyDescent="0.25">
      <c r="A94" s="103"/>
      <c r="B94" s="22"/>
      <c r="C94" s="33"/>
      <c r="D94" s="33"/>
    </row>
    <row r="95" spans="1:4" ht="20.25" x14ac:dyDescent="0.25">
      <c r="A95" s="103"/>
      <c r="B95" s="22"/>
      <c r="C95" s="33"/>
      <c r="D95" s="33"/>
    </row>
    <row r="96" spans="1:4" ht="20.25" x14ac:dyDescent="0.25">
      <c r="A96" s="103"/>
      <c r="B96" s="22"/>
      <c r="C96" s="33"/>
      <c r="D96" s="33"/>
    </row>
    <row r="97" spans="1:4" ht="20.25" x14ac:dyDescent="0.25">
      <c r="A97" s="103"/>
      <c r="B97" s="22"/>
      <c r="C97" s="33"/>
      <c r="D97" s="33"/>
    </row>
    <row r="98" spans="1:4" ht="20.25" x14ac:dyDescent="0.25">
      <c r="A98" s="103"/>
      <c r="B98" s="22"/>
      <c r="C98" s="33"/>
      <c r="D98" s="33"/>
    </row>
    <row r="99" spans="1:4" ht="20.25" x14ac:dyDescent="0.25">
      <c r="A99" s="103"/>
      <c r="B99" s="22"/>
      <c r="C99" s="33"/>
      <c r="D99" s="33"/>
    </row>
    <row r="100" spans="1:4" ht="20.25" x14ac:dyDescent="0.25">
      <c r="A100" s="103"/>
      <c r="B100" s="22"/>
      <c r="C100" s="33"/>
      <c r="D100" s="33"/>
    </row>
    <row r="101" spans="1:4" ht="20.25" x14ac:dyDescent="0.25">
      <c r="A101" s="103"/>
      <c r="B101" s="22"/>
      <c r="C101" s="33"/>
      <c r="D101" s="33"/>
    </row>
    <row r="102" spans="1:4" ht="20.25" x14ac:dyDescent="0.25">
      <c r="A102" s="103"/>
      <c r="B102" s="22"/>
      <c r="C102" s="33"/>
      <c r="D102" s="33"/>
    </row>
    <row r="103" spans="1:4" ht="20.25" x14ac:dyDescent="0.25">
      <c r="A103" s="103"/>
      <c r="B103" s="22"/>
      <c r="C103" s="33"/>
      <c r="D103" s="33"/>
    </row>
    <row r="104" spans="1:4" ht="20.25" x14ac:dyDescent="0.25">
      <c r="A104" s="103"/>
      <c r="B104" s="22"/>
      <c r="C104" s="33"/>
      <c r="D104" s="33"/>
    </row>
    <row r="105" spans="1:4" ht="20.25" x14ac:dyDescent="0.25">
      <c r="A105" s="103"/>
      <c r="B105" s="22"/>
      <c r="C105" s="33"/>
      <c r="D105" s="33"/>
    </row>
    <row r="106" spans="1:4" ht="20.25" x14ac:dyDescent="0.25">
      <c r="A106" s="103"/>
      <c r="B106" s="22"/>
      <c r="C106" s="33"/>
      <c r="D106" s="33"/>
    </row>
    <row r="107" spans="1:4" ht="20.25" x14ac:dyDescent="0.25">
      <c r="A107" s="103"/>
      <c r="B107" s="22"/>
      <c r="C107" s="33"/>
      <c r="D107" s="33"/>
    </row>
    <row r="108" spans="1:4" ht="20.25" x14ac:dyDescent="0.25">
      <c r="A108" s="103"/>
      <c r="B108" s="22"/>
      <c r="C108" s="33"/>
      <c r="D108" s="33"/>
    </row>
    <row r="109" spans="1:4" ht="20.25" x14ac:dyDescent="0.25">
      <c r="A109" s="103"/>
      <c r="B109" s="22"/>
      <c r="C109" s="33"/>
      <c r="D109" s="33"/>
    </row>
    <row r="110" spans="1:4" ht="20.25" x14ac:dyDescent="0.25">
      <c r="A110" s="103"/>
      <c r="B110" s="22"/>
      <c r="C110" s="33"/>
      <c r="D110" s="33"/>
    </row>
    <row r="111" spans="1:4" ht="20.25" x14ac:dyDescent="0.25">
      <c r="A111" s="103"/>
      <c r="B111" s="22"/>
      <c r="C111" s="33"/>
      <c r="D111" s="33"/>
    </row>
    <row r="112" spans="1:4" ht="20.25" x14ac:dyDescent="0.25">
      <c r="A112" s="103"/>
      <c r="B112" s="22"/>
      <c r="C112" s="33"/>
      <c r="D112" s="33"/>
    </row>
    <row r="113" spans="1:4" ht="20.25" x14ac:dyDescent="0.25">
      <c r="A113" s="103"/>
      <c r="B113" s="22"/>
      <c r="C113" s="33"/>
      <c r="D113" s="33"/>
    </row>
    <row r="114" spans="1:4" ht="20.25" x14ac:dyDescent="0.25">
      <c r="A114" s="103"/>
      <c r="B114" s="22"/>
      <c r="C114" s="33"/>
      <c r="D114" s="33"/>
    </row>
    <row r="115" spans="1:4" ht="20.25" x14ac:dyDescent="0.25">
      <c r="A115" s="103"/>
      <c r="B115" s="22"/>
      <c r="C115" s="33"/>
      <c r="D115" s="33"/>
    </row>
    <row r="116" spans="1:4" ht="20.25" x14ac:dyDescent="0.25">
      <c r="A116" s="103"/>
      <c r="B116" s="22"/>
      <c r="C116" s="33"/>
      <c r="D116" s="33"/>
    </row>
    <row r="117" spans="1:4" ht="20.25" x14ac:dyDescent="0.25">
      <c r="A117" s="103"/>
      <c r="B117" s="22"/>
      <c r="C117" s="33"/>
      <c r="D117" s="33"/>
    </row>
    <row r="118" spans="1:4" ht="20.25" x14ac:dyDescent="0.25">
      <c r="A118" s="103"/>
      <c r="B118" s="22"/>
      <c r="C118" s="33"/>
      <c r="D118" s="33"/>
    </row>
    <row r="119" spans="1:4" ht="20.25" x14ac:dyDescent="0.25">
      <c r="A119" s="103"/>
      <c r="B119" s="22"/>
      <c r="C119" s="33"/>
      <c r="D119" s="33"/>
    </row>
    <row r="120" spans="1:4" ht="20.25" x14ac:dyDescent="0.25">
      <c r="A120" s="103"/>
      <c r="B120" s="22"/>
      <c r="C120" s="33"/>
      <c r="D120" s="33"/>
    </row>
    <row r="121" spans="1:4" ht="20.25" x14ac:dyDescent="0.25">
      <c r="A121" s="103"/>
      <c r="B121" s="22"/>
      <c r="C121" s="33"/>
      <c r="D121" s="33"/>
    </row>
    <row r="122" spans="1:4" ht="20.25" x14ac:dyDescent="0.25">
      <c r="A122" s="103"/>
      <c r="B122" s="22"/>
      <c r="C122" s="33"/>
      <c r="D122" s="33"/>
    </row>
    <row r="123" spans="1:4" ht="20.25" x14ac:dyDescent="0.25">
      <c r="A123" s="103"/>
      <c r="B123" s="22"/>
      <c r="C123" s="33"/>
      <c r="D123" s="33"/>
    </row>
    <row r="124" spans="1:4" ht="20.25" x14ac:dyDescent="0.25">
      <c r="A124" s="103"/>
      <c r="B124" s="22"/>
      <c r="C124" s="33"/>
      <c r="D124" s="33"/>
    </row>
    <row r="125" spans="1:4" ht="20.25" x14ac:dyDescent="0.25">
      <c r="A125" s="103"/>
      <c r="B125" s="22"/>
      <c r="C125" s="33"/>
      <c r="D125" s="33"/>
    </row>
    <row r="126" spans="1:4" ht="20.25" x14ac:dyDescent="0.25">
      <c r="A126" s="103"/>
      <c r="B126" s="22"/>
      <c r="C126" s="33"/>
      <c r="D126" s="33"/>
    </row>
    <row r="127" spans="1:4" ht="20.25" x14ac:dyDescent="0.25">
      <c r="A127" s="103"/>
      <c r="B127" s="22"/>
      <c r="C127" s="33"/>
      <c r="D127" s="33"/>
    </row>
    <row r="128" spans="1:4" ht="20.25" x14ac:dyDescent="0.25">
      <c r="A128" s="103"/>
      <c r="B128" s="22"/>
      <c r="C128" s="33"/>
      <c r="D128" s="33"/>
    </row>
    <row r="129" spans="1:4" ht="20.25" x14ac:dyDescent="0.25">
      <c r="A129" s="103"/>
      <c r="B129" s="22"/>
      <c r="C129" s="33"/>
      <c r="D129" s="33"/>
    </row>
    <row r="130" spans="1:4" ht="20.25" x14ac:dyDescent="0.25">
      <c r="A130" s="103"/>
      <c r="B130" s="22"/>
      <c r="C130" s="33"/>
      <c r="D130" s="33"/>
    </row>
    <row r="131" spans="1:4" ht="20.25" x14ac:dyDescent="0.25">
      <c r="A131" s="103"/>
      <c r="B131" s="22"/>
      <c r="C131" s="33"/>
      <c r="D131" s="33"/>
    </row>
    <row r="132" spans="1:4" ht="20.25" x14ac:dyDescent="0.25">
      <c r="A132" s="103"/>
      <c r="B132" s="22"/>
      <c r="C132" s="33"/>
      <c r="D132" s="33"/>
    </row>
    <row r="133" spans="1:4" ht="20.25" x14ac:dyDescent="0.25">
      <c r="A133" s="103"/>
      <c r="B133" s="22"/>
      <c r="C133" s="33"/>
      <c r="D133" s="33"/>
    </row>
    <row r="134" spans="1:4" ht="20.25" x14ac:dyDescent="0.25">
      <c r="A134" s="103"/>
      <c r="B134" s="22"/>
      <c r="C134" s="33"/>
      <c r="D134" s="33"/>
    </row>
    <row r="135" spans="1:4" ht="20.25" x14ac:dyDescent="0.25">
      <c r="A135" s="103"/>
      <c r="B135" s="22"/>
      <c r="C135" s="33"/>
      <c r="D135" s="33"/>
    </row>
    <row r="136" spans="1:4" ht="20.25" x14ac:dyDescent="0.25">
      <c r="A136" s="103"/>
      <c r="B136" s="22"/>
      <c r="C136" s="33"/>
      <c r="D136" s="33"/>
    </row>
    <row r="137" spans="1:4" ht="20.25" x14ac:dyDescent="0.25">
      <c r="A137" s="103"/>
      <c r="B137" s="22"/>
      <c r="C137" s="33"/>
      <c r="D137" s="33"/>
    </row>
    <row r="138" spans="1:4" ht="20.25" x14ac:dyDescent="0.25">
      <c r="A138" s="103"/>
      <c r="B138" s="22"/>
      <c r="C138" s="33"/>
      <c r="D138" s="33"/>
    </row>
    <row r="139" spans="1:4" ht="20.25" x14ac:dyDescent="0.25">
      <c r="A139" s="103"/>
      <c r="B139" s="22"/>
      <c r="C139" s="33"/>
      <c r="D139" s="33"/>
    </row>
    <row r="140" spans="1:4" ht="20.25" x14ac:dyDescent="0.25">
      <c r="A140" s="103"/>
      <c r="B140" s="22"/>
      <c r="C140" s="33"/>
      <c r="D140" s="33"/>
    </row>
    <row r="141" spans="1:4" ht="20.25" x14ac:dyDescent="0.25">
      <c r="A141" s="103"/>
      <c r="B141" s="22"/>
      <c r="C141" s="33"/>
      <c r="D141" s="33"/>
    </row>
    <row r="142" spans="1:4" ht="20.25" x14ac:dyDescent="0.25">
      <c r="A142" s="103"/>
      <c r="B142" s="22"/>
      <c r="C142" s="33"/>
      <c r="D142" s="33"/>
    </row>
    <row r="143" spans="1:4" ht="20.25" x14ac:dyDescent="0.25">
      <c r="A143" s="103"/>
      <c r="B143" s="22"/>
      <c r="C143" s="33"/>
      <c r="D143" s="33"/>
    </row>
    <row r="144" spans="1:4" ht="20.25" x14ac:dyDescent="0.25">
      <c r="A144" s="103"/>
      <c r="B144" s="22"/>
      <c r="C144" s="33"/>
      <c r="D144" s="33"/>
    </row>
    <row r="145" spans="1:4" ht="20.25" x14ac:dyDescent="0.25">
      <c r="A145" s="103"/>
      <c r="B145" s="22"/>
      <c r="C145" s="33"/>
      <c r="D145" s="33"/>
    </row>
    <row r="146" spans="1:4" ht="20.25" x14ac:dyDescent="0.25">
      <c r="A146" s="103"/>
      <c r="B146" s="22"/>
      <c r="C146" s="33"/>
      <c r="D146" s="33"/>
    </row>
    <row r="147" spans="1:4" ht="20.25" x14ac:dyDescent="0.25">
      <c r="A147" s="103"/>
      <c r="B147" s="22"/>
      <c r="C147" s="33"/>
      <c r="D147" s="33"/>
    </row>
    <row r="148" spans="1:4" ht="20.25" x14ac:dyDescent="0.25">
      <c r="A148" s="103"/>
      <c r="B148" s="22"/>
      <c r="C148" s="33"/>
      <c r="D148" s="33"/>
    </row>
    <row r="149" spans="1:4" ht="20.25" x14ac:dyDescent="0.25">
      <c r="A149" s="103"/>
      <c r="B149" s="22"/>
      <c r="C149" s="33"/>
      <c r="D149" s="33"/>
    </row>
    <row r="150" spans="1:4" ht="20.25" x14ac:dyDescent="0.25">
      <c r="A150" s="103"/>
      <c r="B150" s="22"/>
      <c r="C150" s="33"/>
      <c r="D150" s="33"/>
    </row>
    <row r="151" spans="1:4" ht="20.25" x14ac:dyDescent="0.25">
      <c r="A151" s="103"/>
      <c r="B151" s="22"/>
      <c r="C151" s="33"/>
      <c r="D151" s="33"/>
    </row>
    <row r="152" spans="1:4" ht="20.25" x14ac:dyDescent="0.25">
      <c r="A152" s="103"/>
      <c r="B152" s="22"/>
      <c r="C152" s="33"/>
      <c r="D152" s="33"/>
    </row>
    <row r="153" spans="1:4" ht="20.25" x14ac:dyDescent="0.25">
      <c r="A153" s="103"/>
      <c r="B153" s="22"/>
      <c r="C153" s="33"/>
      <c r="D153" s="33"/>
    </row>
    <row r="154" spans="1:4" ht="20.25" x14ac:dyDescent="0.25">
      <c r="A154" s="103"/>
      <c r="B154" s="22"/>
      <c r="C154" s="33"/>
      <c r="D154" s="33"/>
    </row>
    <row r="155" spans="1:4" ht="20.25" x14ac:dyDescent="0.25">
      <c r="A155" s="103"/>
      <c r="B155" s="22"/>
      <c r="C155" s="33"/>
      <c r="D155" s="33"/>
    </row>
    <row r="156" spans="1:4" ht="20.25" x14ac:dyDescent="0.25">
      <c r="A156" s="103"/>
      <c r="B156" s="22"/>
      <c r="C156" s="33"/>
      <c r="D156" s="33"/>
    </row>
    <row r="157" spans="1:4" ht="20.25" x14ac:dyDescent="0.25">
      <c r="A157" s="103"/>
      <c r="B157" s="22"/>
      <c r="C157" s="33"/>
      <c r="D157" s="33"/>
    </row>
    <row r="158" spans="1:4" ht="20.25" x14ac:dyDescent="0.25">
      <c r="A158" s="103"/>
      <c r="B158" s="22"/>
      <c r="C158" s="33"/>
      <c r="D158" s="33"/>
    </row>
    <row r="159" spans="1:4" ht="20.25" x14ac:dyDescent="0.25">
      <c r="A159" s="103"/>
      <c r="B159" s="22"/>
      <c r="C159" s="33"/>
      <c r="D159" s="33"/>
    </row>
    <row r="160" spans="1:4" ht="20.25" x14ac:dyDescent="0.25">
      <c r="A160" s="103"/>
      <c r="B160" s="22"/>
      <c r="C160" s="33"/>
      <c r="D160" s="33"/>
    </row>
    <row r="161" spans="1:4" ht="20.25" x14ac:dyDescent="0.25">
      <c r="A161" s="103"/>
      <c r="B161" s="22"/>
      <c r="C161" s="33"/>
      <c r="D161" s="33"/>
    </row>
    <row r="162" spans="1:4" ht="20.25" x14ac:dyDescent="0.25">
      <c r="A162" s="103"/>
      <c r="B162" s="22"/>
      <c r="C162" s="33"/>
      <c r="D162" s="33"/>
    </row>
    <row r="163" spans="1:4" ht="20.25" x14ac:dyDescent="0.25">
      <c r="A163" s="103"/>
      <c r="B163" s="22"/>
      <c r="C163" s="33"/>
      <c r="D163" s="33"/>
    </row>
    <row r="164" spans="1:4" ht="20.25" x14ac:dyDescent="0.25">
      <c r="A164" s="103"/>
      <c r="B164" s="22"/>
      <c r="C164" s="33"/>
      <c r="D164" s="33"/>
    </row>
    <row r="165" spans="1:4" ht="20.25" x14ac:dyDescent="0.25">
      <c r="A165" s="103"/>
      <c r="B165" s="22"/>
      <c r="C165" s="33"/>
      <c r="D165" s="33"/>
    </row>
    <row r="166" spans="1:4" ht="20.25" x14ac:dyDescent="0.25">
      <c r="A166" s="103"/>
      <c r="B166" s="22"/>
      <c r="C166" s="33"/>
      <c r="D166" s="33"/>
    </row>
    <row r="167" spans="1:4" ht="20.25" x14ac:dyDescent="0.25">
      <c r="A167" s="103"/>
      <c r="B167" s="22"/>
      <c r="C167" s="33"/>
      <c r="D167" s="33"/>
    </row>
    <row r="168" spans="1:4" ht="20.25" x14ac:dyDescent="0.25">
      <c r="A168" s="103"/>
      <c r="B168" s="22"/>
      <c r="C168" s="33"/>
      <c r="D168" s="33"/>
    </row>
    <row r="169" spans="1:4" ht="20.25" x14ac:dyDescent="0.25">
      <c r="A169" s="103"/>
      <c r="B169" s="22"/>
      <c r="C169" s="33"/>
      <c r="D169" s="33"/>
    </row>
    <row r="170" spans="1:4" ht="20.25" x14ac:dyDescent="0.25">
      <c r="A170" s="103"/>
      <c r="B170" s="22"/>
      <c r="C170" s="33"/>
      <c r="D170" s="33"/>
    </row>
    <row r="171" spans="1:4" ht="20.25" x14ac:dyDescent="0.25">
      <c r="A171" s="103"/>
      <c r="B171" s="22"/>
      <c r="C171" s="33"/>
      <c r="D171" s="33"/>
    </row>
    <row r="172" spans="1:4" ht="20.25" x14ac:dyDescent="0.25">
      <c r="A172" s="103"/>
      <c r="B172" s="22"/>
      <c r="C172" s="33"/>
      <c r="D172" s="33"/>
    </row>
    <row r="173" spans="1:4" ht="20.25" x14ac:dyDescent="0.25">
      <c r="A173" s="103"/>
      <c r="B173" s="22"/>
      <c r="C173" s="33"/>
      <c r="D173" s="33"/>
    </row>
    <row r="174" spans="1:4" ht="20.25" x14ac:dyDescent="0.25">
      <c r="A174" s="103"/>
      <c r="B174" s="22"/>
      <c r="C174" s="33"/>
      <c r="D174" s="33"/>
    </row>
    <row r="175" spans="1:4" ht="20.25" x14ac:dyDescent="0.25">
      <c r="A175" s="103"/>
      <c r="B175" s="22"/>
      <c r="C175" s="33"/>
      <c r="D175" s="33"/>
    </row>
    <row r="176" spans="1:4" ht="20.25" x14ac:dyDescent="0.25">
      <c r="A176" s="103"/>
      <c r="B176" s="22"/>
      <c r="C176" s="33"/>
      <c r="D176" s="33"/>
    </row>
    <row r="177" spans="1:4" ht="20.25" x14ac:dyDescent="0.25">
      <c r="A177" s="103"/>
      <c r="B177" s="22"/>
      <c r="C177" s="33"/>
      <c r="D177" s="33"/>
    </row>
    <row r="178" spans="1:4" ht="20.25" x14ac:dyDescent="0.25">
      <c r="A178" s="103"/>
      <c r="B178" s="22"/>
      <c r="C178" s="33"/>
      <c r="D178" s="33"/>
    </row>
    <row r="179" spans="1:4" ht="20.25" x14ac:dyDescent="0.25">
      <c r="A179" s="103"/>
      <c r="B179" s="22"/>
      <c r="C179" s="33"/>
      <c r="D179" s="33"/>
    </row>
    <row r="180" spans="1:4" ht="20.25" x14ac:dyDescent="0.25">
      <c r="A180" s="103"/>
      <c r="B180" s="22"/>
      <c r="C180" s="33"/>
      <c r="D180" s="33"/>
    </row>
    <row r="181" spans="1:4" ht="20.25" x14ac:dyDescent="0.25">
      <c r="A181" s="103"/>
      <c r="B181" s="22"/>
      <c r="C181" s="33"/>
      <c r="D181" s="33"/>
    </row>
    <row r="182" spans="1:4" ht="20.25" x14ac:dyDescent="0.25">
      <c r="A182" s="103"/>
      <c r="B182" s="22"/>
      <c r="C182" s="33"/>
      <c r="D182" s="33"/>
    </row>
    <row r="183" spans="1:4" ht="20.25" x14ac:dyDescent="0.25">
      <c r="A183" s="103"/>
      <c r="B183" s="22"/>
      <c r="C183" s="33"/>
      <c r="D183" s="33"/>
    </row>
    <row r="184" spans="1:4" ht="20.25" x14ac:dyDescent="0.25">
      <c r="A184" s="103"/>
      <c r="B184" s="22"/>
      <c r="C184" s="33"/>
      <c r="D184" s="33"/>
    </row>
    <row r="185" spans="1:4" ht="20.25" x14ac:dyDescent="0.25">
      <c r="A185" s="103"/>
      <c r="B185" s="22"/>
      <c r="C185" s="33"/>
      <c r="D185" s="33"/>
    </row>
    <row r="186" spans="1:4" ht="20.25" x14ac:dyDescent="0.25">
      <c r="A186" s="103"/>
      <c r="B186" s="22"/>
      <c r="C186" s="33"/>
      <c r="D186" s="33"/>
    </row>
    <row r="187" spans="1:4" ht="20.25" x14ac:dyDescent="0.25">
      <c r="A187" s="103"/>
      <c r="B187" s="22"/>
      <c r="C187" s="33"/>
      <c r="D187" s="33"/>
    </row>
    <row r="188" spans="1:4" ht="20.25" x14ac:dyDescent="0.25">
      <c r="A188" s="103"/>
      <c r="B188" s="22"/>
      <c r="C188" s="33"/>
      <c r="D188" s="33"/>
    </row>
    <row r="189" spans="1:4" ht="20.25" x14ac:dyDescent="0.25">
      <c r="A189" s="103"/>
      <c r="B189" s="22"/>
      <c r="C189" s="33"/>
      <c r="D189" s="33"/>
    </row>
    <row r="190" spans="1:4" ht="20.25" x14ac:dyDescent="0.25">
      <c r="A190" s="103"/>
      <c r="B190" s="22"/>
      <c r="C190" s="33"/>
      <c r="D190" s="33"/>
    </row>
    <row r="191" spans="1:4" ht="20.25" x14ac:dyDescent="0.25">
      <c r="A191" s="103"/>
      <c r="B191" s="22"/>
      <c r="C191" s="33"/>
      <c r="D191" s="33"/>
    </row>
    <row r="192" spans="1:4" ht="20.25" x14ac:dyDescent="0.25">
      <c r="A192" s="103"/>
      <c r="B192" s="22"/>
      <c r="C192" s="33"/>
      <c r="D192" s="33"/>
    </row>
    <row r="193" spans="1:4" ht="20.25" x14ac:dyDescent="0.25">
      <c r="A193" s="103"/>
      <c r="B193" s="22"/>
      <c r="C193" s="33"/>
      <c r="D193" s="33"/>
    </row>
    <row r="194" spans="1:4" ht="20.25" x14ac:dyDescent="0.25">
      <c r="A194" s="103"/>
      <c r="B194" s="22"/>
      <c r="C194" s="33"/>
      <c r="D194" s="33"/>
    </row>
    <row r="195" spans="1:4" ht="20.25" x14ac:dyDescent="0.25">
      <c r="A195" s="103"/>
      <c r="B195" s="22"/>
      <c r="C195" s="33"/>
      <c r="D195" s="33"/>
    </row>
    <row r="196" spans="1:4" ht="20.25" x14ac:dyDescent="0.25">
      <c r="A196" s="103"/>
      <c r="B196" s="22"/>
      <c r="C196" s="33"/>
      <c r="D196" s="33"/>
    </row>
    <row r="197" spans="1:4" ht="20.25" x14ac:dyDescent="0.25">
      <c r="A197" s="103"/>
      <c r="B197" s="22"/>
      <c r="C197" s="33"/>
      <c r="D197" s="33"/>
    </row>
    <row r="198" spans="1:4" ht="20.25" x14ac:dyDescent="0.25">
      <c r="A198" s="103"/>
      <c r="B198" s="22"/>
      <c r="C198" s="33"/>
      <c r="D198" s="33"/>
    </row>
    <row r="199" spans="1:4" ht="20.25" x14ac:dyDescent="0.25">
      <c r="A199" s="103"/>
      <c r="B199" s="22"/>
      <c r="C199" s="33"/>
      <c r="D199" s="33"/>
    </row>
    <row r="200" spans="1:4" ht="20.25" x14ac:dyDescent="0.25">
      <c r="A200" s="103"/>
      <c r="B200" s="22"/>
      <c r="C200" s="33"/>
      <c r="D200" s="33"/>
    </row>
    <row r="201" spans="1:4" ht="20.25" x14ac:dyDescent="0.25">
      <c r="A201" s="103"/>
      <c r="B201" s="22"/>
      <c r="C201" s="33"/>
      <c r="D201" s="33"/>
    </row>
    <row r="202" spans="1:4" ht="20.25" x14ac:dyDescent="0.25">
      <c r="A202" s="103"/>
      <c r="B202" s="22"/>
      <c r="C202" s="33"/>
      <c r="D202" s="33"/>
    </row>
    <row r="203" spans="1:4" ht="20.25" x14ac:dyDescent="0.25">
      <c r="A203" s="103"/>
      <c r="B203" s="22"/>
      <c r="C203" s="33"/>
      <c r="D203" s="33"/>
    </row>
    <row r="204" spans="1:4" ht="20.25" x14ac:dyDescent="0.25">
      <c r="A204" s="103"/>
      <c r="B204" s="22"/>
      <c r="C204" s="33"/>
      <c r="D204" s="33"/>
    </row>
    <row r="205" spans="1:4" ht="20.25" x14ac:dyDescent="0.25">
      <c r="A205" s="103"/>
      <c r="B205" s="22"/>
      <c r="C205" s="33"/>
      <c r="D205" s="33"/>
    </row>
    <row r="206" spans="1:4" ht="20.25" x14ac:dyDescent="0.25">
      <c r="A206" s="103"/>
      <c r="B206" s="22"/>
      <c r="C206" s="33"/>
      <c r="D206" s="33"/>
    </row>
    <row r="207" spans="1:4" ht="20.25" x14ac:dyDescent="0.25">
      <c r="A207" s="103"/>
      <c r="B207" s="22"/>
      <c r="C207" s="33"/>
      <c r="D207" s="33"/>
    </row>
    <row r="208" spans="1:4" x14ac:dyDescent="0.25">
      <c r="A208" s="83"/>
      <c r="B208" s="22"/>
      <c r="C208" s="22"/>
      <c r="D208" s="22"/>
    </row>
    <row r="209" spans="1:8" ht="20.25" x14ac:dyDescent="0.25">
      <c r="A209" s="83"/>
      <c r="B209" s="29" t="s">
        <v>85</v>
      </c>
      <c r="C209" s="29" t="s">
        <v>127</v>
      </c>
      <c r="D209" s="32" t="s">
        <v>85</v>
      </c>
      <c r="E209" s="32" t="s">
        <v>127</v>
      </c>
    </row>
    <row r="210" spans="1:8" ht="21" x14ac:dyDescent="0.35">
      <c r="A210" s="83"/>
      <c r="B210" s="30" t="s">
        <v>87</v>
      </c>
      <c r="C210" s="30" t="s">
        <v>56</v>
      </c>
      <c r="D210" t="s">
        <v>87</v>
      </c>
      <c r="F210" t="str">
        <f>IF(NOT(ISBLANK(D210)),D210,IF(NOT(ISBLANK(E210)),"     "&amp;E210,FALSE))</f>
        <v>Afectación Económica o presupuestal</v>
      </c>
      <c r="G210" t="s">
        <v>87</v>
      </c>
      <c r="H210" t="str">
        <f ca="1">IF(NOT(ISERROR(MATCH(G210,_xlfn.ANCHORARRAY(B221),0))),F223&amp;"Por favor no seleccionar los criterios de impacto",G210)</f>
        <v>Afectación Económica o presupuestal</v>
      </c>
    </row>
    <row r="211" spans="1:8" ht="21" x14ac:dyDescent="0.35">
      <c r="A211" s="83"/>
      <c r="B211" s="30" t="s">
        <v>87</v>
      </c>
      <c r="C211" s="30" t="s">
        <v>90</v>
      </c>
      <c r="E211" t="s">
        <v>56</v>
      </c>
      <c r="F211" t="str">
        <f t="shared" ref="F211:F221" si="0">IF(NOT(ISBLANK(D211)),D211,IF(NOT(ISBLANK(E211)),"     "&amp;E211,FALSE))</f>
        <v xml:space="preserve">     Afectación menor a 10 SMLMV .</v>
      </c>
    </row>
    <row r="212" spans="1:8" ht="21" x14ac:dyDescent="0.35">
      <c r="A212" s="83"/>
      <c r="B212" s="30" t="s">
        <v>87</v>
      </c>
      <c r="C212" s="30" t="s">
        <v>91</v>
      </c>
      <c r="E212" t="s">
        <v>90</v>
      </c>
      <c r="F212" t="str">
        <f t="shared" si="0"/>
        <v xml:space="preserve">     Entre 10 y 50 SMLMV </v>
      </c>
    </row>
    <row r="213" spans="1:8" ht="21" x14ac:dyDescent="0.35">
      <c r="A213" s="83"/>
      <c r="B213" s="30" t="s">
        <v>87</v>
      </c>
      <c r="C213" s="30" t="s">
        <v>92</v>
      </c>
      <c r="E213" t="s">
        <v>91</v>
      </c>
      <c r="F213" t="str">
        <f t="shared" si="0"/>
        <v xml:space="preserve">     Entre 50 y 100 SMLMV </v>
      </c>
    </row>
    <row r="214" spans="1:8" ht="21" x14ac:dyDescent="0.35">
      <c r="A214" s="83"/>
      <c r="B214" s="30" t="s">
        <v>87</v>
      </c>
      <c r="C214" s="30" t="s">
        <v>93</v>
      </c>
      <c r="E214" t="s">
        <v>92</v>
      </c>
      <c r="F214" t="str">
        <f t="shared" si="0"/>
        <v xml:space="preserve">     Entre 100 y 500 SMLMV </v>
      </c>
    </row>
    <row r="215" spans="1:8" ht="21" x14ac:dyDescent="0.35">
      <c r="A215" s="83"/>
      <c r="B215" s="30" t="s">
        <v>55</v>
      </c>
      <c r="C215" s="30" t="s">
        <v>94</v>
      </c>
      <c r="E215" t="s">
        <v>93</v>
      </c>
      <c r="F215" t="str">
        <f t="shared" si="0"/>
        <v xml:space="preserve">     Mayor a 500 SMLMV </v>
      </c>
    </row>
    <row r="216" spans="1:8" ht="21" x14ac:dyDescent="0.35">
      <c r="A216" s="83"/>
      <c r="B216" s="30" t="s">
        <v>55</v>
      </c>
      <c r="C216" s="30" t="s">
        <v>95</v>
      </c>
      <c r="D216" t="s">
        <v>55</v>
      </c>
      <c r="F216" t="str">
        <f t="shared" si="0"/>
        <v>Pérdida Reputacional</v>
      </c>
    </row>
    <row r="217" spans="1:8" ht="21" x14ac:dyDescent="0.35">
      <c r="A217" s="83"/>
      <c r="B217" s="30" t="s">
        <v>55</v>
      </c>
      <c r="C217" s="30" t="s">
        <v>97</v>
      </c>
      <c r="E217" t="s">
        <v>94</v>
      </c>
      <c r="F217" t="str">
        <f t="shared" si="0"/>
        <v xml:space="preserve">     El riesgo afecta la imagen de alguna área de la organización</v>
      </c>
    </row>
    <row r="218" spans="1:8" ht="21" x14ac:dyDescent="0.35">
      <c r="A218" s="83"/>
      <c r="B218" s="30" t="s">
        <v>55</v>
      </c>
      <c r="C218" s="30" t="s">
        <v>96</v>
      </c>
      <c r="E218" t="s">
        <v>95</v>
      </c>
      <c r="F218" t="str">
        <f t="shared" si="0"/>
        <v xml:space="preserve">     El riesgo afecta la imagen de la entidad internamente, de conocimiento general, nivel interno, de junta dircetiva y accionistas y/o de provedores</v>
      </c>
    </row>
    <row r="219" spans="1:8" ht="21" x14ac:dyDescent="0.35">
      <c r="A219" s="83"/>
      <c r="B219" s="30" t="s">
        <v>55</v>
      </c>
      <c r="C219" s="30" t="s">
        <v>110</v>
      </c>
      <c r="E219" t="s">
        <v>97</v>
      </c>
      <c r="F219" t="str">
        <f t="shared" si="0"/>
        <v xml:space="preserve">     El riesgo afecta la imagen de la entidad con algunos usuarios de relevancia frente al logro de los objetivos</v>
      </c>
    </row>
    <row r="220" spans="1:8" x14ac:dyDescent="0.25">
      <c r="A220" s="83"/>
      <c r="B220" s="31"/>
      <c r="C220" s="31"/>
      <c r="E220" t="s">
        <v>96</v>
      </c>
      <c r="F220" t="str">
        <f t="shared" si="0"/>
        <v xml:space="preserve">     El riesgo afecta la imagen de de la entidad con efecto publicitario sostenido a nivel de sector administrativo, nivel departamental o municipal</v>
      </c>
    </row>
    <row r="221" spans="1:8" x14ac:dyDescent="0.25">
      <c r="A221" s="83"/>
      <c r="B221" s="31" t="e" cm="1">
        <f t="array" aca="1" ref="B221:B223" ca="1">_xlfn.UNIQUE(Tabla1[[#All],[Criterios]])</f>
        <v>#NAME?</v>
      </c>
      <c r="C221" s="31"/>
      <c r="E221" t="s">
        <v>110</v>
      </c>
      <c r="F221" t="str">
        <f t="shared" si="0"/>
        <v xml:space="preserve">     El riesgo afecta la imagen de la entidad a nivel nacional, con efecto publicitarios sostenible a nivel país</v>
      </c>
    </row>
    <row r="222" spans="1:8" x14ac:dyDescent="0.25">
      <c r="A222" s="83"/>
      <c r="B222" s="31" t="e">
        <f ca="1"/>
        <v>#NAME?</v>
      </c>
      <c r="C222" s="31"/>
    </row>
    <row r="223" spans="1:8" x14ac:dyDescent="0.25">
      <c r="B223" s="31" t="e">
        <f ca="1"/>
        <v>#NAME?</v>
      </c>
      <c r="C223" s="31"/>
      <c r="F223" s="34" t="s">
        <v>129</v>
      </c>
    </row>
    <row r="224" spans="1:8" x14ac:dyDescent="0.25">
      <c r="B224" s="21"/>
      <c r="C224" s="21"/>
      <c r="F224" s="34" t="s">
        <v>130</v>
      </c>
    </row>
    <row r="225" spans="2:4" x14ac:dyDescent="0.25">
      <c r="B225" s="21"/>
      <c r="C225" s="21"/>
    </row>
    <row r="226" spans="2:4" x14ac:dyDescent="0.25">
      <c r="B226" s="21"/>
      <c r="C226" s="21"/>
    </row>
    <row r="227" spans="2:4" x14ac:dyDescent="0.25">
      <c r="B227" s="21" t="s">
        <v>199</v>
      </c>
      <c r="C227" s="21"/>
      <c r="D227" s="21"/>
    </row>
    <row r="228" spans="2:4" x14ac:dyDescent="0.25">
      <c r="B228" t="s">
        <v>85</v>
      </c>
      <c r="C228" s="21" t="s">
        <v>127</v>
      </c>
      <c r="D228" s="32" t="s">
        <v>200</v>
      </c>
    </row>
    <row r="229" spans="2:4" x14ac:dyDescent="0.25">
      <c r="B229" s="147" t="s">
        <v>202</v>
      </c>
      <c r="C229" s="21" t="s">
        <v>192</v>
      </c>
      <c r="D229" s="145" t="s">
        <v>202</v>
      </c>
    </row>
    <row r="230" spans="2:4" x14ac:dyDescent="0.25">
      <c r="B230" s="147" t="s">
        <v>202</v>
      </c>
      <c r="C230" s="21" t="s">
        <v>193</v>
      </c>
      <c r="D230" s="146" t="s">
        <v>192</v>
      </c>
    </row>
    <row r="231" spans="2:4" x14ac:dyDescent="0.25">
      <c r="B231" s="147" t="s">
        <v>202</v>
      </c>
      <c r="C231" s="21" t="s">
        <v>194</v>
      </c>
      <c r="D231" s="146" t="s">
        <v>193</v>
      </c>
    </row>
    <row r="232" spans="2:4" x14ac:dyDescent="0.25">
      <c r="B232" s="147" t="s">
        <v>203</v>
      </c>
      <c r="C232" s="21" t="s">
        <v>195</v>
      </c>
      <c r="D232" s="146" t="s">
        <v>194</v>
      </c>
    </row>
    <row r="233" spans="2:4" x14ac:dyDescent="0.25">
      <c r="B233" s="147" t="s">
        <v>203</v>
      </c>
      <c r="C233" s="21" t="s">
        <v>196</v>
      </c>
      <c r="D233" s="145" t="s">
        <v>203</v>
      </c>
    </row>
    <row r="234" spans="2:4" x14ac:dyDescent="0.25">
      <c r="B234" s="147" t="s">
        <v>203</v>
      </c>
      <c r="C234" s="21" t="s">
        <v>197</v>
      </c>
      <c r="D234" s="146" t="s">
        <v>195</v>
      </c>
    </row>
    <row r="235" spans="2:4" x14ac:dyDescent="0.25">
      <c r="B235" s="147" t="s">
        <v>203</v>
      </c>
      <c r="C235" s="21" t="s">
        <v>198</v>
      </c>
      <c r="D235" s="146" t="s">
        <v>196</v>
      </c>
    </row>
    <row r="236" spans="2:4" x14ac:dyDescent="0.25">
      <c r="D236" s="146" t="s">
        <v>197</v>
      </c>
    </row>
    <row r="237" spans="2:4" x14ac:dyDescent="0.25">
      <c r="D237" s="146" t="s">
        <v>198</v>
      </c>
    </row>
    <row r="238" spans="2:4" x14ac:dyDescent="0.25">
      <c r="D238" s="145" t="s">
        <v>201</v>
      </c>
    </row>
  </sheetData>
  <mergeCells count="1">
    <mergeCell ref="B1:D1"/>
  </mergeCells>
  <dataValidations count="1">
    <dataValidation type="list" allowBlank="1" showInputMessage="1" showErrorMessage="1" sqref="G210">
      <formula1>$F$210:$F$221</formula1>
    </dataValidation>
  </dataValidations>
  <pageMargins left="0.7" right="0.7" top="0.75" bottom="0.75" header="0.3" footer="0.3"/>
  <pageSetup orientation="portrait"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election activeCell="F4" sqref="F4:F6"/>
    </sheetView>
  </sheetViews>
  <sheetFormatPr baseColWidth="10" defaultColWidth="14.42578125" defaultRowHeight="12.75" x14ac:dyDescent="0.2"/>
  <cols>
    <col min="1" max="2" width="14.42578125" style="88"/>
    <col min="3" max="3" width="17" style="88" customWidth="1"/>
    <col min="4" max="4" width="14.42578125" style="88"/>
    <col min="5" max="5" width="46" style="88" customWidth="1"/>
    <col min="6" max="16384" width="14.42578125" style="88"/>
  </cols>
  <sheetData>
    <row r="1" spans="2:6" ht="24" customHeight="1" thickBot="1" x14ac:dyDescent="0.25">
      <c r="B1" s="424" t="s">
        <v>204</v>
      </c>
      <c r="C1" s="425"/>
      <c r="D1" s="425"/>
      <c r="E1" s="425"/>
      <c r="F1" s="426"/>
    </row>
    <row r="2" spans="2:6" ht="16.5" thickBot="1" x14ac:dyDescent="0.3">
      <c r="B2" s="89"/>
      <c r="C2" s="89"/>
      <c r="D2" s="89"/>
      <c r="E2" s="89"/>
      <c r="F2" s="89"/>
    </row>
    <row r="3" spans="2:6" ht="16.5" thickBot="1" x14ac:dyDescent="0.25">
      <c r="B3" s="428" t="s">
        <v>62</v>
      </c>
      <c r="C3" s="429"/>
      <c r="D3" s="429"/>
      <c r="E3" s="101" t="s">
        <v>63</v>
      </c>
      <c r="F3" s="102" t="s">
        <v>64</v>
      </c>
    </row>
    <row r="4" spans="2:6" ht="31.5" x14ac:dyDescent="0.2">
      <c r="B4" s="430" t="s">
        <v>65</v>
      </c>
      <c r="C4" s="432" t="s">
        <v>12</v>
      </c>
      <c r="D4" s="90" t="s">
        <v>13</v>
      </c>
      <c r="E4" s="91" t="s">
        <v>66</v>
      </c>
      <c r="F4" s="92">
        <v>0.25</v>
      </c>
    </row>
    <row r="5" spans="2:6" ht="47.25" x14ac:dyDescent="0.2">
      <c r="B5" s="431"/>
      <c r="C5" s="433"/>
      <c r="D5" s="93" t="s">
        <v>14</v>
      </c>
      <c r="E5" s="94" t="s">
        <v>67</v>
      </c>
      <c r="F5" s="95">
        <v>0.15</v>
      </c>
    </row>
    <row r="6" spans="2:6" ht="47.25" x14ac:dyDescent="0.2">
      <c r="B6" s="431"/>
      <c r="C6" s="433"/>
      <c r="D6" s="93" t="s">
        <v>15</v>
      </c>
      <c r="E6" s="94" t="s">
        <v>68</v>
      </c>
      <c r="F6" s="95">
        <v>0.1</v>
      </c>
    </row>
    <row r="7" spans="2:6" ht="63" x14ac:dyDescent="0.2">
      <c r="B7" s="431"/>
      <c r="C7" s="433" t="s">
        <v>16</v>
      </c>
      <c r="D7" s="93" t="s">
        <v>9</v>
      </c>
      <c r="E7" s="94" t="s">
        <v>69</v>
      </c>
      <c r="F7" s="95">
        <v>0.25</v>
      </c>
    </row>
    <row r="8" spans="2:6" ht="31.5" x14ac:dyDescent="0.2">
      <c r="B8" s="431"/>
      <c r="C8" s="433"/>
      <c r="D8" s="93" t="s">
        <v>8</v>
      </c>
      <c r="E8" s="94" t="s">
        <v>70</v>
      </c>
      <c r="F8" s="95">
        <v>0.15</v>
      </c>
    </row>
    <row r="9" spans="2:6" ht="47.25" x14ac:dyDescent="0.2">
      <c r="B9" s="431" t="s">
        <v>144</v>
      </c>
      <c r="C9" s="433" t="s">
        <v>17</v>
      </c>
      <c r="D9" s="93" t="s">
        <v>18</v>
      </c>
      <c r="E9" s="94" t="s">
        <v>71</v>
      </c>
      <c r="F9" s="96" t="s">
        <v>72</v>
      </c>
    </row>
    <row r="10" spans="2:6" ht="63" x14ac:dyDescent="0.2">
      <c r="B10" s="431"/>
      <c r="C10" s="433"/>
      <c r="D10" s="93" t="s">
        <v>19</v>
      </c>
      <c r="E10" s="94" t="s">
        <v>73</v>
      </c>
      <c r="F10" s="96" t="s">
        <v>72</v>
      </c>
    </row>
    <row r="11" spans="2:6" ht="47.25" x14ac:dyDescent="0.2">
      <c r="B11" s="431"/>
      <c r="C11" s="433" t="s">
        <v>20</v>
      </c>
      <c r="D11" s="93" t="s">
        <v>21</v>
      </c>
      <c r="E11" s="94" t="s">
        <v>74</v>
      </c>
      <c r="F11" s="96" t="s">
        <v>72</v>
      </c>
    </row>
    <row r="12" spans="2:6" ht="47.25" x14ac:dyDescent="0.2">
      <c r="B12" s="431"/>
      <c r="C12" s="433"/>
      <c r="D12" s="93" t="s">
        <v>22</v>
      </c>
      <c r="E12" s="94" t="s">
        <v>75</v>
      </c>
      <c r="F12" s="96" t="s">
        <v>72</v>
      </c>
    </row>
    <row r="13" spans="2:6" ht="31.5" x14ac:dyDescent="0.2">
      <c r="B13" s="431"/>
      <c r="C13" s="433" t="s">
        <v>23</v>
      </c>
      <c r="D13" s="93" t="s">
        <v>111</v>
      </c>
      <c r="E13" s="94" t="s">
        <v>114</v>
      </c>
      <c r="F13" s="96" t="s">
        <v>72</v>
      </c>
    </row>
    <row r="14" spans="2:6" ht="32.25" thickBot="1" x14ac:dyDescent="0.25">
      <c r="B14" s="434"/>
      <c r="C14" s="435"/>
      <c r="D14" s="97" t="s">
        <v>112</v>
      </c>
      <c r="E14" s="98" t="s">
        <v>113</v>
      </c>
      <c r="F14" s="99" t="s">
        <v>72</v>
      </c>
    </row>
    <row r="15" spans="2:6" ht="49.7" customHeight="1" x14ac:dyDescent="0.2">
      <c r="B15" s="427" t="s">
        <v>141</v>
      </c>
      <c r="C15" s="427"/>
      <c r="D15" s="427"/>
      <c r="E15" s="427"/>
      <c r="F15" s="42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D1" zoomScaleNormal="100" workbookViewId="0">
      <selection activeCell="D27" sqref="D27"/>
    </sheetView>
  </sheetViews>
  <sheetFormatPr baseColWidth="10" defaultRowHeight="15" x14ac:dyDescent="0.25"/>
  <cols>
    <col min="1" max="1" width="78.42578125" customWidth="1"/>
    <col min="3" max="3" width="32" bestFit="1" customWidth="1"/>
    <col min="4" max="4" width="119.42578125" bestFit="1" customWidth="1"/>
    <col min="5" max="5" width="81" customWidth="1"/>
  </cols>
  <sheetData>
    <row r="1" spans="1:5" ht="15.75" thickBot="1" x14ac:dyDescent="0.3">
      <c r="A1" s="142" t="s">
        <v>174</v>
      </c>
      <c r="D1" s="436" t="s">
        <v>175</v>
      </c>
      <c r="E1" s="437"/>
    </row>
    <row r="2" spans="1:5" x14ac:dyDescent="0.25">
      <c r="A2" s="151" t="s">
        <v>246</v>
      </c>
      <c r="D2" s="438" t="s">
        <v>176</v>
      </c>
      <c r="E2" s="159" t="s">
        <v>266</v>
      </c>
    </row>
    <row r="3" spans="1:5" x14ac:dyDescent="0.25">
      <c r="A3" s="152" t="s">
        <v>247</v>
      </c>
      <c r="D3" s="439"/>
      <c r="E3" s="160" t="s">
        <v>267</v>
      </c>
    </row>
    <row r="4" spans="1:5" x14ac:dyDescent="0.25">
      <c r="A4" s="153" t="s">
        <v>248</v>
      </c>
      <c r="D4" s="439"/>
      <c r="E4" s="160" t="s">
        <v>268</v>
      </c>
    </row>
    <row r="5" spans="1:5" x14ac:dyDescent="0.25">
      <c r="A5" s="154" t="s">
        <v>249</v>
      </c>
      <c r="D5" s="440"/>
      <c r="E5" s="160" t="s">
        <v>269</v>
      </c>
    </row>
    <row r="6" spans="1:5" ht="30" x14ac:dyDescent="0.25">
      <c r="A6" s="152" t="s">
        <v>250</v>
      </c>
      <c r="D6" s="438" t="s">
        <v>177</v>
      </c>
      <c r="E6" s="160" t="s">
        <v>243</v>
      </c>
    </row>
    <row r="7" spans="1:5" ht="30" x14ac:dyDescent="0.25">
      <c r="A7" s="152" t="s">
        <v>251</v>
      </c>
      <c r="D7" s="439"/>
      <c r="E7" s="160" t="s">
        <v>270</v>
      </c>
    </row>
    <row r="8" spans="1:5" x14ac:dyDescent="0.25">
      <c r="A8" s="155" t="s">
        <v>252</v>
      </c>
      <c r="D8" s="439"/>
      <c r="E8" s="160" t="s">
        <v>242</v>
      </c>
    </row>
    <row r="9" spans="1:5" x14ac:dyDescent="0.25">
      <c r="A9" s="155" t="s">
        <v>253</v>
      </c>
      <c r="D9" s="438" t="s">
        <v>178</v>
      </c>
      <c r="E9" s="160" t="s">
        <v>271</v>
      </c>
    </row>
    <row r="10" spans="1:5" x14ac:dyDescent="0.25">
      <c r="A10" s="156" t="s">
        <v>254</v>
      </c>
      <c r="D10" s="439"/>
      <c r="E10" s="160" t="s">
        <v>272</v>
      </c>
    </row>
    <row r="11" spans="1:5" x14ac:dyDescent="0.25">
      <c r="A11" s="155" t="s">
        <v>255</v>
      </c>
      <c r="D11" s="438" t="s">
        <v>179</v>
      </c>
      <c r="E11" s="160" t="s">
        <v>244</v>
      </c>
    </row>
    <row r="12" spans="1:5" x14ac:dyDescent="0.25">
      <c r="A12" s="157" t="s">
        <v>256</v>
      </c>
      <c r="D12" s="439"/>
      <c r="E12" s="160" t="s">
        <v>273</v>
      </c>
    </row>
    <row r="13" spans="1:5" x14ac:dyDescent="0.25">
      <c r="A13" s="152" t="s">
        <v>257</v>
      </c>
      <c r="D13" s="440"/>
      <c r="E13" s="160" t="s">
        <v>274</v>
      </c>
    </row>
    <row r="14" spans="1:5" ht="30" x14ac:dyDescent="0.25">
      <c r="A14" s="155" t="s">
        <v>258</v>
      </c>
      <c r="E14" s="160" t="s">
        <v>275</v>
      </c>
    </row>
    <row r="15" spans="1:5" x14ac:dyDescent="0.25">
      <c r="A15" s="152" t="s">
        <v>259</v>
      </c>
      <c r="D15" s="143" t="s">
        <v>183</v>
      </c>
      <c r="E15" s="160" t="s">
        <v>245</v>
      </c>
    </row>
    <row r="16" spans="1:5" x14ac:dyDescent="0.25">
      <c r="A16" s="152" t="s">
        <v>260</v>
      </c>
      <c r="D16" s="144" t="s">
        <v>184</v>
      </c>
      <c r="E16" s="160" t="s">
        <v>239</v>
      </c>
    </row>
    <row r="17" spans="1:7" x14ac:dyDescent="0.25">
      <c r="A17" s="157" t="s">
        <v>261</v>
      </c>
      <c r="D17" s="144" t="s">
        <v>185</v>
      </c>
      <c r="E17" s="160" t="s">
        <v>240</v>
      </c>
    </row>
    <row r="18" spans="1:7" x14ac:dyDescent="0.25">
      <c r="A18" s="154" t="s">
        <v>262</v>
      </c>
      <c r="D18" s="144" t="s">
        <v>186</v>
      </c>
      <c r="E18" s="160" t="s">
        <v>238</v>
      </c>
    </row>
    <row r="19" spans="1:7" ht="30" x14ac:dyDescent="0.25">
      <c r="A19" s="155" t="s">
        <v>263</v>
      </c>
      <c r="D19" s="144" t="s">
        <v>187</v>
      </c>
      <c r="E19" s="160" t="s">
        <v>276</v>
      </c>
    </row>
    <row r="20" spans="1:7" x14ac:dyDescent="0.25">
      <c r="A20" s="156" t="s">
        <v>245</v>
      </c>
      <c r="D20" s="144" t="s">
        <v>188</v>
      </c>
      <c r="E20" s="160" t="s">
        <v>241</v>
      </c>
    </row>
    <row r="21" spans="1:7" x14ac:dyDescent="0.25">
      <c r="A21" s="152" t="s">
        <v>264</v>
      </c>
      <c r="D21" s="144" t="s">
        <v>189</v>
      </c>
      <c r="E21" s="160" t="s">
        <v>277</v>
      </c>
    </row>
    <row r="22" spans="1:7" ht="15.75" thickBot="1" x14ac:dyDescent="0.3">
      <c r="A22" s="158" t="s">
        <v>265</v>
      </c>
      <c r="D22" s="144" t="s">
        <v>190</v>
      </c>
      <c r="E22" s="160" t="s">
        <v>278</v>
      </c>
    </row>
    <row r="23" spans="1:7" x14ac:dyDescent="0.25">
      <c r="A23" s="148"/>
      <c r="E23" s="160" t="s">
        <v>279</v>
      </c>
    </row>
    <row r="24" spans="1:7" x14ac:dyDescent="0.25">
      <c r="A24" s="143" t="s">
        <v>191</v>
      </c>
      <c r="E24" s="160" t="s">
        <v>280</v>
      </c>
    </row>
    <row r="25" spans="1:7" ht="20.25" x14ac:dyDescent="0.25">
      <c r="A25" s="144" t="s">
        <v>184</v>
      </c>
      <c r="B25" s="29"/>
      <c r="E25" s="160" t="s">
        <v>281</v>
      </c>
    </row>
    <row r="26" spans="1:7" ht="21" x14ac:dyDescent="0.35">
      <c r="A26" s="144" t="s">
        <v>185</v>
      </c>
      <c r="B26" s="30"/>
      <c r="E26" s="160" t="s">
        <v>282</v>
      </c>
      <c r="F26" t="s">
        <v>87</v>
      </c>
      <c r="G26" t="str">
        <f ca="1">IF(NOT(ISERROR(MATCH(F26,_xlfn.ANCHORARRAY(A37),0))),E39&amp;"Por favor no seleccionar los criterios de impacto",F26)</f>
        <v>Afectación Económica o presupuestal</v>
      </c>
    </row>
    <row r="27" spans="1:7" ht="21.75" thickBot="1" x14ac:dyDescent="0.4">
      <c r="A27" s="144" t="s">
        <v>186</v>
      </c>
      <c r="B27" s="30"/>
      <c r="E27" s="161" t="s">
        <v>283</v>
      </c>
    </row>
    <row r="28" spans="1:7" ht="21" x14ac:dyDescent="0.35">
      <c r="A28" s="144" t="s">
        <v>187</v>
      </c>
      <c r="B28" s="30"/>
    </row>
    <row r="29" spans="1:7" ht="21" x14ac:dyDescent="0.35">
      <c r="A29" s="144" t="s">
        <v>188</v>
      </c>
      <c r="B29" s="30"/>
    </row>
    <row r="30" spans="1:7" ht="21" x14ac:dyDescent="0.35">
      <c r="A30" s="144" t="s">
        <v>189</v>
      </c>
      <c r="B30" s="30"/>
    </row>
    <row r="31" spans="1:7" ht="21" x14ac:dyDescent="0.35">
      <c r="A31" s="144" t="s">
        <v>190</v>
      </c>
      <c r="B31" s="30"/>
    </row>
    <row r="32" spans="1:7" ht="21" x14ac:dyDescent="0.35">
      <c r="A32" s="30"/>
      <c r="B32" s="30"/>
    </row>
    <row r="33" spans="1:2" ht="21" x14ac:dyDescent="0.35">
      <c r="A33" s="30"/>
      <c r="B33" s="30"/>
    </row>
    <row r="34" spans="1:2" ht="21" x14ac:dyDescent="0.35">
      <c r="A34" s="30"/>
      <c r="B34" s="30"/>
    </row>
    <row r="35" spans="1:2" ht="21" x14ac:dyDescent="0.35">
      <c r="A35" s="30"/>
      <c r="B35" s="30"/>
    </row>
    <row r="36" spans="1:2" x14ac:dyDescent="0.25">
      <c r="A36" s="31"/>
      <c r="B36" s="31"/>
    </row>
  </sheetData>
  <mergeCells count="5">
    <mergeCell ref="D1:E1"/>
    <mergeCell ref="D2:D5"/>
    <mergeCell ref="D6:D8"/>
    <mergeCell ref="D9:D10"/>
    <mergeCell ref="D11:D13"/>
  </mergeCells>
  <dataValidations count="1">
    <dataValidation type="list" allowBlank="1" showInputMessage="1" showErrorMessage="1" sqref="F26">
      <formula1>$F$210:$F$221</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B20" sqref="B20"/>
    </sheetView>
  </sheetViews>
  <sheetFormatPr baseColWidth="10" defaultRowHeight="15" x14ac:dyDescent="0.25"/>
  <sheetData>
    <row r="2" spans="2:5" x14ac:dyDescent="0.25">
      <c r="B2" t="s">
        <v>30</v>
      </c>
      <c r="E2" t="s">
        <v>117</v>
      </c>
    </row>
    <row r="3" spans="2:5" x14ac:dyDescent="0.25">
      <c r="B3" t="s">
        <v>31</v>
      </c>
      <c r="E3" t="s">
        <v>116</v>
      </c>
    </row>
    <row r="4" spans="2:5" x14ac:dyDescent="0.25">
      <c r="B4" t="s">
        <v>121</v>
      </c>
      <c r="E4" t="s">
        <v>118</v>
      </c>
    </row>
    <row r="5" spans="2:5" x14ac:dyDescent="0.25">
      <c r="B5" t="s">
        <v>120</v>
      </c>
    </row>
    <row r="8" spans="2:5" x14ac:dyDescent="0.25">
      <c r="B8" t="s">
        <v>83</v>
      </c>
    </row>
    <row r="9" spans="2:5" x14ac:dyDescent="0.25">
      <c r="B9" t="s">
        <v>39</v>
      </c>
    </row>
    <row r="10" spans="2:5" x14ac:dyDescent="0.25">
      <c r="B10" t="s">
        <v>40</v>
      </c>
    </row>
    <row r="11" spans="2:5" x14ac:dyDescent="0.25">
      <c r="B11" t="s">
        <v>210</v>
      </c>
    </row>
    <row r="13" spans="2:5" x14ac:dyDescent="0.25">
      <c r="B13" t="s">
        <v>211</v>
      </c>
    </row>
    <row r="14" spans="2:5" x14ac:dyDescent="0.25">
      <c r="B14" t="s">
        <v>212</v>
      </c>
    </row>
    <row r="15" spans="2:5" x14ac:dyDescent="0.25">
      <c r="B15" t="s">
        <v>213</v>
      </c>
    </row>
    <row r="16" spans="2:5" x14ac:dyDescent="0.25">
      <c r="B16" t="s">
        <v>214</v>
      </c>
    </row>
    <row r="17" spans="2:2" x14ac:dyDescent="0.25">
      <c r="B17" t="s">
        <v>215</v>
      </c>
    </row>
    <row r="18" spans="2:2" x14ac:dyDescent="0.25">
      <c r="B18" t="s">
        <v>216</v>
      </c>
    </row>
    <row r="19" spans="2:2" x14ac:dyDescent="0.25">
      <c r="B19" t="s">
        <v>217</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Procesos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Gestion TIC</cp:lastModifiedBy>
  <cp:lastPrinted>2020-05-13T01:12:22Z</cp:lastPrinted>
  <dcterms:created xsi:type="dcterms:W3CDTF">2020-03-24T23:12:47Z</dcterms:created>
  <dcterms:modified xsi:type="dcterms:W3CDTF">2023-10-20T16:30:41Z</dcterms:modified>
</cp:coreProperties>
</file>