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FAMILIA AGAMEZ NUÑEZ\Documents\JOB\SCRD 2022\SCRD\OTIC\Mapa de Riesgos\"/>
    </mc:Choice>
  </mc:AlternateContent>
  <xr:revisionPtr revIDLastSave="0" documentId="13_ncr:1_{20B4C094-8212-4FCB-BE13-A51D55D48465}" xr6:coauthVersionLast="47" xr6:coauthVersionMax="47" xr10:uidLastSave="{00000000-0000-0000-0000-000000000000}"/>
  <bookViews>
    <workbookView xWindow="-120" yWindow="-120" windowWidth="20730" windowHeight="110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Procesos" sheetId="21" r:id="rId8"/>
    <sheet name="Opciones Tratamiento" sheetId="16" r:id="rId9"/>
    <sheet name="Hoja1" sheetId="11" state="hidden" r:id="rId10"/>
  </sheets>
  <calcPr calcId="181029"/>
  <pivotCaches>
    <pivotCache cacheId="0" r:id="rId11"/>
    <pivotCache cacheId="1" r:id="rId12"/>
  </pivotCache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2" i="1" l="1"/>
  <c r="J12" i="1"/>
  <c r="S11" i="1"/>
  <c r="J11" i="1"/>
  <c r="G26" i="21"/>
  <c r="V11" i="1" l="1"/>
  <c r="K11" i="1"/>
  <c r="M16" i="1"/>
  <c r="M26" i="1"/>
  <c r="M49" i="1"/>
  <c r="M31" i="1"/>
  <c r="M67" i="1"/>
  <c r="M34" i="1"/>
  <c r="M52" i="1"/>
  <c r="M32" i="1"/>
  <c r="M66" i="1"/>
  <c r="M28" i="1"/>
  <c r="M48" i="1"/>
  <c r="M61" i="1"/>
  <c r="M59" i="1"/>
  <c r="M46" i="1"/>
  <c r="M40" i="1"/>
  <c r="M41" i="1"/>
  <c r="M24" i="1"/>
  <c r="M29" i="1"/>
  <c r="M18" i="1"/>
  <c r="M30" i="1"/>
  <c r="M23" i="1"/>
  <c r="M43" i="1"/>
  <c r="M58" i="1"/>
  <c r="M53" i="1"/>
  <c r="M55" i="1"/>
  <c r="M20" i="1"/>
  <c r="M19" i="1"/>
  <c r="M50" i="1"/>
  <c r="M38" i="1"/>
  <c r="M35" i="1"/>
  <c r="M60" i="1"/>
  <c r="M37" i="1"/>
  <c r="M54" i="1"/>
  <c r="M56" i="1"/>
  <c r="M68" i="1"/>
  <c r="M47" i="1"/>
  <c r="M64" i="1"/>
  <c r="M17" i="1"/>
  <c r="M22" i="1"/>
  <c r="M44" i="1"/>
  <c r="M65" i="1"/>
  <c r="M25" i="1"/>
  <c r="M62" i="1"/>
  <c r="M36" i="1"/>
  <c r="M42" i="1"/>
  <c r="F221" i="13" l="1"/>
  <c r="F211" i="13"/>
  <c r="F212" i="13"/>
  <c r="F213" i="13"/>
  <c r="F214" i="13"/>
  <c r="F215" i="13"/>
  <c r="F216" i="13"/>
  <c r="F217" i="13"/>
  <c r="F218" i="13"/>
  <c r="F219" i="13"/>
  <c r="F220" i="13"/>
  <c r="F210" i="13"/>
  <c r="M14" i="1"/>
  <c r="M13" i="1"/>
  <c r="M12" i="1"/>
  <c r="B221" i="13" a="1"/>
  <c r="B221" i="13" l="1"/>
  <c r="S51" i="1"/>
  <c r="S46" i="1"/>
  <c r="S40"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8" i="1" l="1"/>
  <c r="S68" i="1"/>
  <c r="V67" i="1"/>
  <c r="S67" i="1"/>
  <c r="V66" i="1"/>
  <c r="S66" i="1"/>
  <c r="V65" i="1"/>
  <c r="S65" i="1"/>
  <c r="V64" i="1"/>
  <c r="S64" i="1"/>
  <c r="V63" i="1"/>
  <c r="S63" i="1"/>
  <c r="J63" i="1"/>
  <c r="K63" i="1" s="1"/>
  <c r="V62" i="1"/>
  <c r="S62" i="1"/>
  <c r="V61" i="1"/>
  <c r="S61" i="1"/>
  <c r="V60" i="1"/>
  <c r="S60" i="1"/>
  <c r="V59" i="1"/>
  <c r="S59" i="1"/>
  <c r="V58" i="1"/>
  <c r="S58" i="1"/>
  <c r="V57" i="1"/>
  <c r="S57" i="1"/>
  <c r="J57" i="1"/>
  <c r="K57" i="1" s="1"/>
  <c r="V56" i="1"/>
  <c r="S56" i="1"/>
  <c r="V55" i="1"/>
  <c r="S55" i="1"/>
  <c r="V54" i="1"/>
  <c r="S54" i="1"/>
  <c r="V53" i="1"/>
  <c r="S53" i="1"/>
  <c r="V52" i="1"/>
  <c r="S52" i="1"/>
  <c r="AD52" i="1" s="1"/>
  <c r="V51" i="1"/>
  <c r="J51" i="1"/>
  <c r="K51" i="1" s="1"/>
  <c r="V50" i="1"/>
  <c r="S50" i="1"/>
  <c r="V49" i="1"/>
  <c r="S49" i="1"/>
  <c r="V48" i="1"/>
  <c r="S48" i="1"/>
  <c r="V47" i="1"/>
  <c r="S47" i="1"/>
  <c r="V46" i="1"/>
  <c r="V45" i="1"/>
  <c r="S45" i="1"/>
  <c r="AD46" i="1" s="1"/>
  <c r="J45" i="1"/>
  <c r="K45" i="1" s="1"/>
  <c r="V44" i="1"/>
  <c r="S44" i="1"/>
  <c r="V43" i="1"/>
  <c r="S43" i="1"/>
  <c r="V42" i="1"/>
  <c r="S42" i="1"/>
  <c r="V41" i="1"/>
  <c r="S41" i="1"/>
  <c r="V40" i="1"/>
  <c r="V39" i="1"/>
  <c r="S39" i="1"/>
  <c r="AD40" i="1" s="1"/>
  <c r="J39" i="1"/>
  <c r="K39" i="1" s="1"/>
  <c r="V38" i="1"/>
  <c r="S38" i="1"/>
  <c r="V37" i="1"/>
  <c r="S37" i="1"/>
  <c r="V36" i="1"/>
  <c r="S36" i="1"/>
  <c r="V35" i="1"/>
  <c r="S35" i="1"/>
  <c r="V34" i="1"/>
  <c r="S34" i="1"/>
  <c r="V33" i="1"/>
  <c r="S33" i="1"/>
  <c r="J33" i="1"/>
  <c r="K33" i="1" s="1"/>
  <c r="V32" i="1"/>
  <c r="S32" i="1"/>
  <c r="V31" i="1"/>
  <c r="S31" i="1"/>
  <c r="V30" i="1"/>
  <c r="S30" i="1"/>
  <c r="V29" i="1"/>
  <c r="S29" i="1"/>
  <c r="V28" i="1"/>
  <c r="S28" i="1"/>
  <c r="V27" i="1"/>
  <c r="S27" i="1"/>
  <c r="J27" i="1"/>
  <c r="K27" i="1" s="1"/>
  <c r="V26" i="1"/>
  <c r="S26" i="1"/>
  <c r="V25" i="1"/>
  <c r="S25" i="1"/>
  <c r="V24" i="1"/>
  <c r="S24" i="1"/>
  <c r="V23" i="1"/>
  <c r="S23" i="1"/>
  <c r="V22" i="1"/>
  <c r="S22" i="1"/>
  <c r="V21" i="1"/>
  <c r="S21" i="1"/>
  <c r="J21" i="1"/>
  <c r="K21" i="1" s="1"/>
  <c r="J15" i="1"/>
  <c r="S14" i="1"/>
  <c r="S13" i="1"/>
  <c r="V20" i="1"/>
  <c r="S20" i="1"/>
  <c r="V19" i="1"/>
  <c r="S19" i="1"/>
  <c r="V18" i="1"/>
  <c r="S18" i="1"/>
  <c r="V17" i="1"/>
  <c r="S17" i="1"/>
  <c r="V16" i="1"/>
  <c r="S16" i="1"/>
  <c r="V15" i="1"/>
  <c r="S15" i="1"/>
  <c r="AD22" i="1" l="1"/>
  <c r="AD28" i="1"/>
  <c r="AD64" i="1"/>
  <c r="AD16" i="1"/>
  <c r="AD34" i="1"/>
  <c r="AD58" i="1"/>
  <c r="AD49" i="1"/>
  <c r="AC49" i="1" s="1"/>
  <c r="AD50" i="1"/>
  <c r="AC50" i="1" s="1"/>
  <c r="K15" i="1"/>
  <c r="Z63" i="1"/>
  <c r="Z57" i="1"/>
  <c r="Z51" i="1"/>
  <c r="Z45" i="1"/>
  <c r="Z49" i="1"/>
  <c r="Z50" i="1"/>
  <c r="Z39" i="1"/>
  <c r="Z33" i="1"/>
  <c r="Z27" i="1"/>
  <c r="Z21" i="1"/>
  <c r="Z15" i="1"/>
  <c r="AA63" i="1" l="1"/>
  <c r="AB63" i="1"/>
  <c r="Z64" i="1" s="1"/>
  <c r="AA64" i="1" s="1"/>
  <c r="AA57" i="1"/>
  <c r="AB57" i="1"/>
  <c r="Z58" i="1" s="1"/>
  <c r="AB58" i="1" s="1"/>
  <c r="Z59" i="1" s="1"/>
  <c r="AA51" i="1"/>
  <c r="AB51" i="1"/>
  <c r="Z52" i="1" s="1"/>
  <c r="AB52" i="1" s="1"/>
  <c r="Z53" i="1" s="1"/>
  <c r="AA50" i="1"/>
  <c r="AB50" i="1"/>
  <c r="AA49" i="1"/>
  <c r="AB49" i="1"/>
  <c r="AA45" i="1"/>
  <c r="AB45" i="1"/>
  <c r="AA39" i="1"/>
  <c r="AB39" i="1"/>
  <c r="Z40" i="1" s="1"/>
  <c r="AB40" i="1" s="1"/>
  <c r="Z41" i="1" s="1"/>
  <c r="AA33" i="1"/>
  <c r="AB33" i="1"/>
  <c r="AA27" i="1"/>
  <c r="AB27" i="1"/>
  <c r="Z28" i="1" s="1"/>
  <c r="AB28" i="1" s="1"/>
  <c r="Z29" i="1" s="1"/>
  <c r="AA29" i="1" s="1"/>
  <c r="AA21" i="1"/>
  <c r="AB21" i="1"/>
  <c r="Z22" i="1" s="1"/>
  <c r="AA22" i="1" s="1"/>
  <c r="AA15" i="1"/>
  <c r="AB15" i="1"/>
  <c r="Z16" i="1" s="1"/>
  <c r="AA58" i="1" l="1"/>
  <c r="AA52" i="1"/>
  <c r="AB22" i="1"/>
  <c r="Z23" i="1" s="1"/>
  <c r="AA23" i="1" s="1"/>
  <c r="AA40" i="1"/>
  <c r="AA28" i="1"/>
  <c r="AA41" i="1"/>
  <c r="AB41" i="1"/>
  <c r="AB59" i="1"/>
  <c r="Z60" i="1" s="1"/>
  <c r="AA59" i="1"/>
  <c r="AB53" i="1"/>
  <c r="Z54" i="1" s="1"/>
  <c r="AA53" i="1"/>
  <c r="AB64" i="1"/>
  <c r="Z65" i="1" s="1"/>
  <c r="Z34" i="1"/>
  <c r="Z46" i="1"/>
  <c r="Z47" i="1"/>
  <c r="AB29"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E49" i="1"/>
  <c r="AE50" i="1"/>
  <c r="V12" i="1"/>
  <c r="V13" i="1"/>
  <c r="V14" i="1"/>
  <c r="AA60" i="1" l="1"/>
  <c r="AB60" i="1"/>
  <c r="AA54" i="1"/>
  <c r="AB54" i="1"/>
  <c r="Z55" i="1" s="1"/>
  <c r="AB23" i="1"/>
  <c r="Z24" i="1" s="1"/>
  <c r="AB24" i="1" s="1"/>
  <c r="AA47" i="1"/>
  <c r="AB47" i="1"/>
  <c r="Z48" i="1" s="1"/>
  <c r="AA65" i="1"/>
  <c r="AB65" i="1"/>
  <c r="Z66" i="1" s="1"/>
  <c r="AA46" i="1"/>
  <c r="AB46" i="1"/>
  <c r="Z42" i="1"/>
  <c r="AA34" i="1"/>
  <c r="AB34" i="1"/>
  <c r="Z35" i="1" s="1"/>
  <c r="AA35" i="1" s="1"/>
  <c r="Z31" i="1"/>
  <c r="AA31" i="1" s="1"/>
  <c r="Z30" i="1"/>
  <c r="AA16" i="1"/>
  <c r="AB16" i="1"/>
  <c r="Z17" i="1" s="1"/>
  <c r="AA17" i="1" s="1"/>
  <c r="AB35" i="1" l="1"/>
  <c r="Z36" i="1" s="1"/>
  <c r="AB36" i="1" s="1"/>
  <c r="Z37" i="1" s="1"/>
  <c r="AA55" i="1"/>
  <c r="AB55" i="1"/>
  <c r="Z56" i="1" s="1"/>
  <c r="Z61" i="1"/>
  <c r="Z62" i="1"/>
  <c r="AA24" i="1"/>
  <c r="AA42" i="1"/>
  <c r="AB42" i="1"/>
  <c r="Z43" i="1" s="1"/>
  <c r="AA43" i="1" s="1"/>
  <c r="AA48" i="1"/>
  <c r="AB48" i="1"/>
  <c r="Z25" i="1"/>
  <c r="AB66" i="1"/>
  <c r="AA66" i="1"/>
  <c r="AA30" i="1"/>
  <c r="AB30" i="1"/>
  <c r="AB31" i="1"/>
  <c r="Z32" i="1" s="1"/>
  <c r="AB17" i="1"/>
  <c r="Z18" i="1" s="1"/>
  <c r="AA18" i="1" s="1"/>
  <c r="AA36" i="1" l="1"/>
  <c r="AA62" i="1"/>
  <c r="AB62" i="1"/>
  <c r="AA61" i="1"/>
  <c r="AB61" i="1"/>
  <c r="AA56" i="1"/>
  <c r="AB56" i="1"/>
  <c r="Z67" i="1"/>
  <c r="Z68" i="1"/>
  <c r="AB43" i="1"/>
  <c r="Z44" i="1" s="1"/>
  <c r="AA44" i="1" s="1"/>
  <c r="AB37" i="1"/>
  <c r="Z38" i="1" s="1"/>
  <c r="AA37" i="1"/>
  <c r="AA25" i="1"/>
  <c r="AB25" i="1"/>
  <c r="Z26" i="1" s="1"/>
  <c r="AA26" i="1" s="1"/>
  <c r="AA32" i="1"/>
  <c r="AB32" i="1"/>
  <c r="AB18" i="1"/>
  <c r="Z19" i="1" s="1"/>
  <c r="AB19" i="1" s="1"/>
  <c r="Z20" i="1" s="1"/>
  <c r="Z11" i="1"/>
  <c r="AA11" i="1" s="1"/>
  <c r="AA68" i="1" l="1"/>
  <c r="AB68" i="1"/>
  <c r="AA67" i="1"/>
  <c r="AB67" i="1"/>
  <c r="AA38" i="1"/>
  <c r="AB38" i="1"/>
  <c r="AB44" i="1"/>
  <c r="AB26" i="1"/>
  <c r="AA19" i="1"/>
  <c r="AA20" i="1"/>
  <c r="AB20" i="1"/>
  <c r="AB11" i="1" l="1"/>
  <c r="Z12" i="1" s="1"/>
  <c r="AA12" i="1" l="1"/>
  <c r="AB12" i="1" l="1"/>
  <c r="Z13" i="1" l="1"/>
  <c r="AA13" i="1" l="1"/>
  <c r="AB13" i="1"/>
  <c r="Z14" i="1" s="1"/>
  <c r="AA14" i="1" l="1"/>
  <c r="AB14" i="1"/>
  <c r="AD27" i="1" l="1"/>
  <c r="AC27" i="1" s="1"/>
  <c r="AD65" i="1"/>
  <c r="AD57" i="1"/>
  <c r="AD39" i="1"/>
  <c r="AC39" i="1" s="1"/>
  <c r="AD51" i="1"/>
  <c r="AC51" i="1" s="1"/>
  <c r="AD15" i="1"/>
  <c r="AC15" i="1" s="1"/>
  <c r="AD21" i="1"/>
  <c r="AC21" i="1" s="1"/>
  <c r="AD45" i="1"/>
  <c r="AC45" i="1" s="1"/>
  <c r="AD33" i="1"/>
  <c r="AC33" i="1" s="1"/>
  <c r="J40" i="19" l="1"/>
  <c r="V30" i="19"/>
  <c r="AH20" i="19"/>
  <c r="J30" i="19"/>
  <c r="V20" i="19"/>
  <c r="AH10" i="19"/>
  <c r="P10" i="19"/>
  <c r="AB50" i="19"/>
  <c r="J50" i="19"/>
  <c r="AB40" i="19"/>
  <c r="P30" i="19"/>
  <c r="V50" i="19"/>
  <c r="P50" i="19"/>
  <c r="AB10" i="19"/>
  <c r="AH30" i="19"/>
  <c r="AH40" i="19"/>
  <c r="J10" i="19"/>
  <c r="AB20" i="19"/>
  <c r="AH50" i="19"/>
  <c r="AE33" i="1"/>
  <c r="V10" i="19"/>
  <c r="P20" i="19"/>
  <c r="J20" i="19"/>
  <c r="P40" i="19"/>
  <c r="V40" i="19"/>
  <c r="AB30" i="19"/>
  <c r="J11" i="19"/>
  <c r="V11" i="19"/>
  <c r="AB21" i="19"/>
  <c r="P31" i="19"/>
  <c r="J31" i="19"/>
  <c r="AB41" i="19"/>
  <c r="AE39" i="1"/>
  <c r="AH41" i="19"/>
  <c r="P41" i="19"/>
  <c r="J21" i="19"/>
  <c r="AB31" i="19"/>
  <c r="AB51" i="19"/>
  <c r="P21" i="19"/>
  <c r="V41" i="19"/>
  <c r="V31" i="19"/>
  <c r="AH21" i="19"/>
  <c r="AB11" i="19"/>
  <c r="P51" i="19"/>
  <c r="V21" i="19"/>
  <c r="AH31" i="19"/>
  <c r="V51" i="19"/>
  <c r="J51" i="19"/>
  <c r="AH51" i="19"/>
  <c r="AH11" i="19"/>
  <c r="J41" i="19"/>
  <c r="P11" i="19"/>
  <c r="AC22" i="1"/>
  <c r="AD23" i="1"/>
  <c r="J47" i="19"/>
  <c r="V27" i="19"/>
  <c r="AH7" i="19"/>
  <c r="P47" i="19"/>
  <c r="AB27" i="19"/>
  <c r="J17" i="19"/>
  <c r="V47" i="19"/>
  <c r="J37" i="19"/>
  <c r="AE15" i="1"/>
  <c r="AB37" i="19"/>
  <c r="J27" i="19"/>
  <c r="V7" i="19"/>
  <c r="AH37" i="19"/>
  <c r="P27" i="19"/>
  <c r="AB7" i="19"/>
  <c r="P17" i="19"/>
  <c r="V17" i="19"/>
  <c r="AH47" i="19"/>
  <c r="P37" i="19"/>
  <c r="AB17" i="19"/>
  <c r="J7" i="19"/>
  <c r="V37" i="19"/>
  <c r="AH17" i="19"/>
  <c r="P7" i="19"/>
  <c r="AH27" i="19"/>
  <c r="AB47" i="19"/>
  <c r="AE51"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7" i="1"/>
  <c r="AC64" i="1"/>
  <c r="AE27"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E21"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5" i="1"/>
  <c r="AD66" i="1"/>
  <c r="AD35" i="1"/>
  <c r="AC34" i="1"/>
  <c r="AC40" i="1"/>
  <c r="AD41" i="1"/>
  <c r="AC41" i="1" s="1"/>
  <c r="AD42" i="1"/>
  <c r="V32" i="19"/>
  <c r="P42" i="19"/>
  <c r="J12" i="19"/>
  <c r="J32" i="19"/>
  <c r="AB52" i="19"/>
  <c r="AE45" i="1"/>
  <c r="J22" i="19"/>
  <c r="V22" i="19"/>
  <c r="J52" i="19"/>
  <c r="AH12" i="19"/>
  <c r="J42" i="19"/>
  <c r="AH42" i="19"/>
  <c r="P32" i="19"/>
  <c r="AB12" i="19"/>
  <c r="AH32" i="19"/>
  <c r="AB32" i="19"/>
  <c r="AB42" i="19"/>
  <c r="V42" i="19"/>
  <c r="V12" i="19"/>
  <c r="V52" i="19"/>
  <c r="AB22" i="19"/>
  <c r="AH52" i="19"/>
  <c r="AH22" i="19"/>
  <c r="P22" i="19"/>
  <c r="P12" i="19"/>
  <c r="P52" i="19"/>
  <c r="AD47" i="1"/>
  <c r="AC47" i="1" s="1"/>
  <c r="AD48" i="1"/>
  <c r="AC48" i="1" s="1"/>
  <c r="AC46" i="1"/>
  <c r="AD17" i="1"/>
  <c r="AC16" i="1"/>
  <c r="AC52" i="1"/>
  <c r="AD53" i="1"/>
  <c r="AC58" i="1"/>
  <c r="AD59" i="1"/>
  <c r="AC28" i="1"/>
  <c r="AD29" i="1"/>
  <c r="W37" i="19" l="1"/>
  <c r="AI7" i="19"/>
  <c r="W17" i="19"/>
  <c r="W27" i="19"/>
  <c r="Q47" i="19"/>
  <c r="W7" i="19"/>
  <c r="AI17" i="19"/>
  <c r="K47" i="19"/>
  <c r="AI47" i="19"/>
  <c r="Q27" i="19"/>
  <c r="AC27" i="19"/>
  <c r="AC47" i="19"/>
  <c r="AC37" i="19"/>
  <c r="AI37" i="19"/>
  <c r="AE16" i="1"/>
  <c r="AC17" i="19"/>
  <c r="K37" i="19"/>
  <c r="AC7" i="19"/>
  <c r="W47" i="19"/>
  <c r="Q37" i="19"/>
  <c r="AI27" i="19"/>
  <c r="Q7" i="19"/>
  <c r="K27" i="19"/>
  <c r="K17" i="19"/>
  <c r="K7" i="19"/>
  <c r="Q17" i="19"/>
  <c r="AC66" i="1"/>
  <c r="AD67" i="1"/>
  <c r="K35" i="19"/>
  <c r="AC25" i="19"/>
  <c r="K45" i="19"/>
  <c r="AI45" i="19"/>
  <c r="W45" i="19"/>
  <c r="Q35" i="19"/>
  <c r="K55" i="19"/>
  <c r="AC15" i="19"/>
  <c r="Q15" i="19"/>
  <c r="AC35" i="19"/>
  <c r="AI35" i="19"/>
  <c r="Q55" i="19"/>
  <c r="AI25" i="19"/>
  <c r="AE64"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8"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E40" i="1"/>
  <c r="AD55" i="19"/>
  <c r="R15" i="19"/>
  <c r="AJ35" i="19"/>
  <c r="AE65"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7"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E47" i="1"/>
  <c r="AD12" i="19"/>
  <c r="AD32" i="19"/>
  <c r="AD22" i="19"/>
  <c r="X52" i="19"/>
  <c r="AD52" i="19"/>
  <c r="L42" i="19"/>
  <c r="R42" i="19"/>
  <c r="AJ21" i="19"/>
  <c r="AD31" i="19"/>
  <c r="R21" i="19"/>
  <c r="AD41" i="19"/>
  <c r="AJ11" i="19"/>
  <c r="AJ51" i="19"/>
  <c r="AE41" i="1"/>
  <c r="L41" i="19"/>
  <c r="AD11" i="19"/>
  <c r="L21" i="19"/>
  <c r="L11" i="19"/>
  <c r="X51" i="19"/>
  <c r="X21" i="19"/>
  <c r="R11" i="19"/>
  <c r="R31" i="19"/>
  <c r="AJ41" i="19"/>
  <c r="L31" i="19"/>
  <c r="R51" i="19"/>
  <c r="X31" i="19"/>
  <c r="X11" i="19"/>
  <c r="X41" i="19"/>
  <c r="AJ31" i="19"/>
  <c r="AD51" i="19"/>
  <c r="R41" i="19"/>
  <c r="AD21" i="19"/>
  <c r="L51" i="19"/>
  <c r="AD18" i="1"/>
  <c r="AC17" i="1"/>
  <c r="AC29" i="1"/>
  <c r="AD30" i="1"/>
  <c r="AC53" i="1"/>
  <c r="AD54" i="1"/>
  <c r="K42" i="19"/>
  <c r="AC32" i="19"/>
  <c r="W42" i="19"/>
  <c r="AI52" i="19"/>
  <c r="K22" i="19"/>
  <c r="Q32" i="19"/>
  <c r="AI12" i="19"/>
  <c r="AC52" i="19"/>
  <c r="Q42" i="19"/>
  <c r="AC42" i="19"/>
  <c r="K12" i="19"/>
  <c r="Q22" i="19"/>
  <c r="W52" i="19"/>
  <c r="AI42" i="19"/>
  <c r="W32" i="19"/>
  <c r="AI22" i="19"/>
  <c r="W12" i="19"/>
  <c r="AI32" i="19"/>
  <c r="AC12" i="19"/>
  <c r="Q12" i="19"/>
  <c r="Q52" i="19"/>
  <c r="AE46" i="1"/>
  <c r="K32" i="19"/>
  <c r="W22" i="19"/>
  <c r="K52" i="19"/>
  <c r="AC22" i="19"/>
  <c r="AC40" i="19"/>
  <c r="W10" i="19"/>
  <c r="AC50" i="19"/>
  <c r="Q10" i="19"/>
  <c r="Q30" i="19"/>
  <c r="W50" i="19"/>
  <c r="K40" i="19"/>
  <c r="Q50" i="19"/>
  <c r="W20" i="19"/>
  <c r="AE34" i="1"/>
  <c r="K10" i="19"/>
  <c r="Q40" i="19"/>
  <c r="K30" i="19"/>
  <c r="AI50" i="19"/>
  <c r="AI20" i="19"/>
  <c r="K50" i="19"/>
  <c r="AI40" i="19"/>
  <c r="W40" i="19"/>
  <c r="K20" i="19"/>
  <c r="AC10" i="19"/>
  <c r="AI10" i="19"/>
  <c r="AC20" i="19"/>
  <c r="AI30" i="19"/>
  <c r="AC30" i="19"/>
  <c r="W30" i="19"/>
  <c r="Q20" i="19"/>
  <c r="AD24" i="1"/>
  <c r="AC23" i="1"/>
  <c r="AC59" i="1"/>
  <c r="AD60" i="1"/>
  <c r="K39" i="19"/>
  <c r="AC39" i="19"/>
  <c r="W29" i="19"/>
  <c r="AI49" i="19"/>
  <c r="W9" i="19"/>
  <c r="AC19" i="19"/>
  <c r="Q49" i="19"/>
  <c r="W49" i="19"/>
  <c r="AC9" i="19"/>
  <c r="AI9" i="19"/>
  <c r="Q29" i="19"/>
  <c r="W39" i="19"/>
  <c r="Q39" i="19"/>
  <c r="AE28"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2" i="1"/>
  <c r="Q33" i="19"/>
  <c r="AI23" i="19"/>
  <c r="K53" i="19"/>
  <c r="AC23" i="19"/>
  <c r="AC13" i="19"/>
  <c r="W23" i="19"/>
  <c r="W33" i="19"/>
  <c r="Q13" i="19"/>
  <c r="W13" i="19"/>
  <c r="AI13" i="19"/>
  <c r="Q43" i="19"/>
  <c r="Q23" i="19"/>
  <c r="W53" i="19"/>
  <c r="M12" i="19"/>
  <c r="AK42" i="19"/>
  <c r="AE32" i="19"/>
  <c r="AE48" i="1"/>
  <c r="M52" i="19"/>
  <c r="S12" i="19"/>
  <c r="M32" i="19"/>
  <c r="S52" i="19"/>
  <c r="Y52" i="19"/>
  <c r="Y42" i="19"/>
  <c r="AK12" i="19"/>
  <c r="S22" i="19"/>
  <c r="AE12" i="19"/>
  <c r="Y22" i="19"/>
  <c r="S32" i="19"/>
  <c r="AK52" i="19"/>
  <c r="M22" i="19"/>
  <c r="AK32" i="19"/>
  <c r="AE22" i="19"/>
  <c r="AE42" i="19"/>
  <c r="Y32" i="19"/>
  <c r="M42" i="19"/>
  <c r="Y12" i="19"/>
  <c r="AE52" i="19"/>
  <c r="AK22" i="19"/>
  <c r="S42" i="19"/>
  <c r="AC42" i="1"/>
  <c r="AD44" i="1"/>
  <c r="AC44" i="1" s="1"/>
  <c r="AD43" i="1"/>
  <c r="AC43" i="1" s="1"/>
  <c r="AC35" i="1"/>
  <c r="AD36" i="1"/>
  <c r="AD1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E22" i="1"/>
  <c r="AC13" i="1" l="1"/>
  <c r="AD14" i="1"/>
  <c r="AC14" i="1" s="1"/>
  <c r="R40" i="19"/>
  <c r="AD10" i="19"/>
  <c r="X40" i="19"/>
  <c r="AJ10" i="19"/>
  <c r="R50" i="19"/>
  <c r="X10" i="19"/>
  <c r="R30" i="19"/>
  <c r="AE35" i="1"/>
  <c r="L10" i="19"/>
  <c r="L50" i="19"/>
  <c r="AJ20" i="19"/>
  <c r="AJ40" i="19"/>
  <c r="AD30" i="19"/>
  <c r="R20" i="19"/>
  <c r="AD50" i="19"/>
  <c r="AJ30" i="19"/>
  <c r="AJ50" i="19"/>
  <c r="X30" i="19"/>
  <c r="AD20" i="19"/>
  <c r="L40" i="19"/>
  <c r="X50" i="19"/>
  <c r="X20" i="19"/>
  <c r="AD40" i="19"/>
  <c r="R10" i="19"/>
  <c r="L30" i="19"/>
  <c r="L20" i="19"/>
  <c r="AC54" i="1"/>
  <c r="AD55" i="1"/>
  <c r="AC67" i="1"/>
  <c r="AD68" i="1"/>
  <c r="AC68" i="1" s="1"/>
  <c r="AD47" i="19"/>
  <c r="AJ27" i="19"/>
  <c r="AD27" i="19"/>
  <c r="AJ7" i="19"/>
  <c r="AJ37" i="19"/>
  <c r="L27" i="19"/>
  <c r="AD17" i="19"/>
  <c r="L37" i="19"/>
  <c r="R17" i="19"/>
  <c r="AJ17" i="19"/>
  <c r="X7" i="19"/>
  <c r="X47" i="19"/>
  <c r="L7" i="19"/>
  <c r="L17" i="19"/>
  <c r="R27" i="19"/>
  <c r="X27" i="19"/>
  <c r="R7" i="19"/>
  <c r="X17" i="19"/>
  <c r="AJ47" i="19"/>
  <c r="L47" i="19"/>
  <c r="R37" i="19"/>
  <c r="AD7" i="19"/>
  <c r="X37" i="19"/>
  <c r="AE17" i="1"/>
  <c r="R47" i="19"/>
  <c r="AD37" i="19"/>
  <c r="AD25" i="1"/>
  <c r="AC25" i="1" s="1"/>
  <c r="AC24" i="1"/>
  <c r="AD26" i="1"/>
  <c r="AC26" i="1" s="1"/>
  <c r="AJ43" i="19"/>
  <c r="AD33" i="19"/>
  <c r="X33" i="19"/>
  <c r="X13" i="19"/>
  <c r="AD43" i="19"/>
  <c r="L43" i="19"/>
  <c r="AE53" i="1"/>
  <c r="X23" i="19"/>
  <c r="R33" i="19"/>
  <c r="R43" i="19"/>
  <c r="AD53" i="19"/>
  <c r="AJ13" i="19"/>
  <c r="R23" i="19"/>
  <c r="R13" i="19"/>
  <c r="AJ53" i="19"/>
  <c r="L33" i="19"/>
  <c r="L23" i="19"/>
  <c r="X43" i="19"/>
  <c r="X53" i="19"/>
  <c r="AD13" i="19"/>
  <c r="L53" i="19"/>
  <c r="L13" i="19"/>
  <c r="AD23" i="19"/>
  <c r="AJ33" i="19"/>
  <c r="AJ23" i="19"/>
  <c r="R53" i="19"/>
  <c r="AC18" i="1"/>
  <c r="AD19" i="1"/>
  <c r="M55" i="19"/>
  <c r="AK15" i="19"/>
  <c r="AE25" i="19"/>
  <c r="AE66"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E23"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E43" i="1"/>
  <c r="AL21" i="19"/>
  <c r="T41" i="19"/>
  <c r="AF41" i="19"/>
  <c r="O11" i="19"/>
  <c r="O21" i="19"/>
  <c r="O51" i="19"/>
  <c r="AA31" i="19"/>
  <c r="AM31" i="19"/>
  <c r="AG51" i="19"/>
  <c r="AA41" i="19"/>
  <c r="AM11" i="19"/>
  <c r="U21" i="19"/>
  <c r="AG41" i="19"/>
  <c r="AM21" i="19"/>
  <c r="AM51" i="19"/>
  <c r="O41" i="19"/>
  <c r="U11" i="19"/>
  <c r="AG31" i="19"/>
  <c r="U41" i="19"/>
  <c r="AE44" i="1"/>
  <c r="AG11" i="19"/>
  <c r="AM41" i="19"/>
  <c r="AA21" i="19"/>
  <c r="AA51" i="19"/>
  <c r="U51" i="19"/>
  <c r="U31" i="19"/>
  <c r="AA11" i="19"/>
  <c r="AG21" i="19"/>
  <c r="O31" i="19"/>
  <c r="AC60" i="1"/>
  <c r="AD61" i="1"/>
  <c r="AC30" i="1"/>
  <c r="AD31" i="1"/>
  <c r="AC31" i="1" s="1"/>
  <c r="AD32" i="1"/>
  <c r="AC32" i="1" s="1"/>
  <c r="AC36" i="1"/>
  <c r="AD37" i="1"/>
  <c r="AE11" i="19"/>
  <c r="Y41" i="19"/>
  <c r="M41" i="19"/>
  <c r="Y21" i="19"/>
  <c r="AK41" i="19"/>
  <c r="S31" i="19"/>
  <c r="M31" i="19"/>
  <c r="M51" i="19"/>
  <c r="Y51" i="19"/>
  <c r="AK21" i="19"/>
  <c r="AK31" i="19"/>
  <c r="Y11" i="19"/>
  <c r="AE41" i="19"/>
  <c r="AE21" i="19"/>
  <c r="S51" i="19"/>
  <c r="AE51" i="19"/>
  <c r="AK51" i="19"/>
  <c r="M21" i="19"/>
  <c r="AE31" i="19"/>
  <c r="AE42" i="1"/>
  <c r="S41" i="19"/>
  <c r="AK11" i="19"/>
  <c r="S11" i="19"/>
  <c r="Y31" i="19"/>
  <c r="S21" i="19"/>
  <c r="M11" i="19"/>
  <c r="L54" i="19"/>
  <c r="AJ14" i="19"/>
  <c r="AD44" i="19"/>
  <c r="X54" i="19"/>
  <c r="R14" i="19"/>
  <c r="AD24" i="19"/>
  <c r="AD34" i="19"/>
  <c r="R54" i="19"/>
  <c r="L34" i="19"/>
  <c r="AJ34" i="19"/>
  <c r="X24" i="19"/>
  <c r="AJ24" i="19"/>
  <c r="X44" i="19"/>
  <c r="R24" i="19"/>
  <c r="AE59" i="1"/>
  <c r="X34" i="19"/>
  <c r="L14" i="19"/>
  <c r="AD14" i="19"/>
  <c r="L44" i="19"/>
  <c r="R44" i="19"/>
  <c r="AD54" i="19"/>
  <c r="X14" i="19"/>
  <c r="AJ44" i="19"/>
  <c r="R34" i="19"/>
  <c r="AJ54" i="19"/>
  <c r="L24" i="19"/>
  <c r="AD29" i="19"/>
  <c r="AD19" i="19"/>
  <c r="R39" i="19"/>
  <c r="R9" i="19"/>
  <c r="X49" i="19"/>
  <c r="X9" i="19"/>
  <c r="AD39" i="19"/>
  <c r="R29" i="19"/>
  <c r="L49" i="19"/>
  <c r="X19" i="19"/>
  <c r="X29" i="19"/>
  <c r="X39" i="19"/>
  <c r="L9" i="19"/>
  <c r="AE29" i="1"/>
  <c r="AD9" i="19"/>
  <c r="AJ49" i="19"/>
  <c r="L39" i="19"/>
  <c r="R19" i="19"/>
  <c r="AJ39" i="19"/>
  <c r="AJ29" i="19"/>
  <c r="AJ19" i="19"/>
  <c r="AJ9" i="19"/>
  <c r="AD49" i="19"/>
  <c r="L19" i="19"/>
  <c r="L29" i="19"/>
  <c r="R49" i="19"/>
  <c r="AC37" i="1" l="1"/>
  <c r="AD38" i="1"/>
  <c r="AC38" i="1" s="1"/>
  <c r="AG39" i="19"/>
  <c r="AG29" i="19"/>
  <c r="AM19" i="19"/>
  <c r="O39" i="19"/>
  <c r="AE32"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0" i="1"/>
  <c r="AE24" i="19"/>
  <c r="S14" i="19"/>
  <c r="AK17" i="19"/>
  <c r="S27" i="19"/>
  <c r="S37" i="19"/>
  <c r="AE27" i="19"/>
  <c r="Y47" i="19"/>
  <c r="S7" i="19"/>
  <c r="M17" i="19"/>
  <c r="AE17" i="19"/>
  <c r="AK27" i="19"/>
  <c r="Y7" i="19"/>
  <c r="Y37" i="19"/>
  <c r="AE37" i="19"/>
  <c r="Y27" i="19"/>
  <c r="M47" i="19"/>
  <c r="AE18"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4" i="1"/>
  <c r="AE28" i="19"/>
  <c r="AA55" i="19"/>
  <c r="O45" i="19"/>
  <c r="AA15" i="19"/>
  <c r="AM55" i="19"/>
  <c r="O55" i="19"/>
  <c r="AG35" i="19"/>
  <c r="AM25" i="19"/>
  <c r="AM35" i="19"/>
  <c r="AA25" i="19"/>
  <c r="AM45" i="19"/>
  <c r="AG25" i="19"/>
  <c r="AA35" i="19"/>
  <c r="O25" i="19"/>
  <c r="U25" i="19"/>
  <c r="AG45" i="19"/>
  <c r="U35" i="19"/>
  <c r="AA45" i="19"/>
  <c r="AM15" i="19"/>
  <c r="U45" i="19"/>
  <c r="O35" i="19"/>
  <c r="O15" i="19"/>
  <c r="AE68" i="1"/>
  <c r="AG15" i="19"/>
  <c r="U15" i="19"/>
  <c r="AG55" i="19"/>
  <c r="U55" i="19"/>
  <c r="AE40" i="19"/>
  <c r="Y30" i="19"/>
  <c r="M20" i="19"/>
  <c r="AE36"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E31" i="1"/>
  <c r="T19" i="19"/>
  <c r="AL49" i="19"/>
  <c r="T29" i="19"/>
  <c r="AF29" i="19"/>
  <c r="T18" i="19"/>
  <c r="N48" i="19"/>
  <c r="N8" i="19"/>
  <c r="T28" i="19"/>
  <c r="AF38" i="19"/>
  <c r="Z28" i="19"/>
  <c r="Z18" i="19"/>
  <c r="AF8" i="19"/>
  <c r="AE25"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7"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E30" i="1"/>
  <c r="M9" i="19"/>
  <c r="Y29" i="19"/>
  <c r="AC55" i="1"/>
  <c r="AD56" i="1"/>
  <c r="AC56" i="1" s="1"/>
  <c r="AM46" i="19"/>
  <c r="U36" i="19"/>
  <c r="AG16" i="19"/>
  <c r="O6" i="19"/>
  <c r="AA36" i="19"/>
  <c r="AM16" i="19"/>
  <c r="U6" i="19"/>
  <c r="AG46" i="19"/>
  <c r="AA16" i="19"/>
  <c r="AE14" i="1"/>
  <c r="AA6" i="19"/>
  <c r="AG6" i="19"/>
  <c r="AA46" i="19"/>
  <c r="AM26" i="19"/>
  <c r="U16" i="19"/>
  <c r="O36" i="19"/>
  <c r="U26" i="19"/>
  <c r="O46" i="19"/>
  <c r="AA26" i="19"/>
  <c r="AM6" i="19"/>
  <c r="U46" i="19"/>
  <c r="AG26" i="19"/>
  <c r="O16" i="19"/>
  <c r="AG36" i="19"/>
  <c r="O26" i="19"/>
  <c r="AM36" i="19"/>
  <c r="AC61" i="1"/>
  <c r="AD62" i="1"/>
  <c r="AC62" i="1" s="1"/>
  <c r="AD20" i="1"/>
  <c r="AC20" i="1" s="1"/>
  <c r="AC19" i="1"/>
  <c r="O8" i="19"/>
  <c r="AA48" i="19"/>
  <c r="AM38" i="19"/>
  <c r="U48" i="19"/>
  <c r="AA18" i="19"/>
  <c r="AG18" i="19"/>
  <c r="AG48" i="19"/>
  <c r="AM18" i="19"/>
  <c r="AA28" i="19"/>
  <c r="AG28" i="19"/>
  <c r="AA8" i="19"/>
  <c r="U18" i="19"/>
  <c r="AG38" i="19"/>
  <c r="U38" i="19"/>
  <c r="AM8" i="19"/>
  <c r="AA38" i="19"/>
  <c r="AM48" i="19"/>
  <c r="U28" i="19"/>
  <c r="O38" i="19"/>
  <c r="U8" i="19"/>
  <c r="AG8" i="19"/>
  <c r="AE26"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4" i="1"/>
  <c r="M33" i="19"/>
  <c r="AF6" i="19"/>
  <c r="N46" i="19"/>
  <c r="Z26" i="19"/>
  <c r="AL6" i="19"/>
  <c r="AL36" i="19"/>
  <c r="AF26" i="19"/>
  <c r="Z6" i="19"/>
  <c r="T26" i="19"/>
  <c r="Z46" i="19"/>
  <c r="AF46" i="19"/>
  <c r="T46" i="19"/>
  <c r="T6" i="19"/>
  <c r="AF36" i="19"/>
  <c r="N26" i="19"/>
  <c r="Z16" i="19"/>
  <c r="AL26" i="19"/>
  <c r="Z36" i="19"/>
  <c r="N36" i="19"/>
  <c r="AL46" i="19"/>
  <c r="T36" i="19"/>
  <c r="AF16" i="19"/>
  <c r="N6" i="19"/>
  <c r="N16" i="19"/>
  <c r="AE13"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62" i="1"/>
  <c r="AA14" i="19"/>
  <c r="O54" i="19"/>
  <c r="U44" i="19"/>
  <c r="U43" i="19"/>
  <c r="U13" i="19"/>
  <c r="AM53" i="19"/>
  <c r="AA53" i="19"/>
  <c r="AA43" i="19"/>
  <c r="O53" i="19"/>
  <c r="O23" i="19"/>
  <c r="O13" i="19"/>
  <c r="AG43" i="19"/>
  <c r="U33" i="19"/>
  <c r="U23" i="19"/>
  <c r="AM13" i="19"/>
  <c r="AM23" i="19"/>
  <c r="AG13" i="19"/>
  <c r="AA23" i="19"/>
  <c r="AG33" i="19"/>
  <c r="AA33" i="19"/>
  <c r="AM33" i="19"/>
  <c r="AA13" i="19"/>
  <c r="AE56"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1" i="1"/>
  <c r="AF53" i="19"/>
  <c r="T43" i="19"/>
  <c r="Z53" i="19"/>
  <c r="N43" i="19"/>
  <c r="T23" i="19"/>
  <c r="AF43" i="19"/>
  <c r="Z13" i="19"/>
  <c r="Z43" i="19"/>
  <c r="AF23" i="19"/>
  <c r="AL13" i="19"/>
  <c r="Z23" i="19"/>
  <c r="AL43" i="19"/>
  <c r="AF13" i="19"/>
  <c r="AL23" i="19"/>
  <c r="N13" i="19"/>
  <c r="T33" i="19"/>
  <c r="AL53" i="19"/>
  <c r="N23" i="19"/>
  <c r="N53" i="19"/>
  <c r="AF33" i="19"/>
  <c r="N33" i="19"/>
  <c r="AE55" i="1"/>
  <c r="T53" i="19"/>
  <c r="AL33" i="19"/>
  <c r="T13" i="19"/>
  <c r="Z33" i="19"/>
  <c r="Z47" i="19"/>
  <c r="T7" i="19"/>
  <c r="AL37" i="19"/>
  <c r="T17" i="19"/>
  <c r="Z17" i="19"/>
  <c r="AF7" i="19"/>
  <c r="AF37" i="19"/>
  <c r="N17" i="19"/>
  <c r="AF27" i="19"/>
  <c r="AE19"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E38"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E20" i="1"/>
  <c r="AA17" i="19"/>
  <c r="O7" i="19"/>
  <c r="AA37" i="19"/>
  <c r="AA27" i="19"/>
  <c r="AM27" i="19"/>
  <c r="U17" i="19"/>
  <c r="U47" i="19"/>
  <c r="AG17" i="19"/>
  <c r="O47" i="19"/>
  <c r="Z40" i="19"/>
  <c r="AE37"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39" i="1" l="1"/>
  <c r="N39" i="1" s="1"/>
  <c r="M11" i="1"/>
  <c r="N11" i="1" s="1"/>
  <c r="M27" i="1"/>
  <c r="N27" i="1" s="1"/>
  <c r="M21" i="1"/>
  <c r="N21" i="1" s="1"/>
  <c r="M51" i="1"/>
  <c r="N51" i="1" s="1"/>
  <c r="M45" i="1"/>
  <c r="N45" i="1" s="1"/>
  <c r="M33" i="1"/>
  <c r="N33" i="1" s="1"/>
  <c r="M15" i="1"/>
  <c r="N15" i="1" s="1"/>
  <c r="M63" i="1"/>
  <c r="N63" i="1" s="1"/>
  <c r="M57" i="1"/>
  <c r="N57" i="1" s="1"/>
  <c r="X6" i="18" l="1"/>
  <c r="AJ30" i="18"/>
  <c r="R22" i="18"/>
  <c r="L6" i="18"/>
  <c r="R30" i="18"/>
  <c r="X22" i="18"/>
  <c r="X38" i="18"/>
  <c r="AD38" i="18"/>
  <c r="P15" i="1"/>
  <c r="AD22" i="18"/>
  <c r="O15" i="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P33" i="1"/>
  <c r="L32" i="18"/>
  <c r="X8" i="18"/>
  <c r="X24" i="18"/>
  <c r="AJ8" i="18"/>
  <c r="O33" i="1"/>
  <c r="R40" i="18"/>
  <c r="L40" i="18"/>
  <c r="X16" i="18"/>
  <c r="L24" i="18"/>
  <c r="AJ24" i="18"/>
  <c r="X32" i="18"/>
  <c r="AJ40" i="18"/>
  <c r="R16" i="18"/>
  <c r="AD40" i="18"/>
  <c r="AD32" i="18"/>
  <c r="AD16" i="18"/>
  <c r="O45" i="1"/>
  <c r="J42" i="18"/>
  <c r="P34" i="18"/>
  <c r="AB18" i="18"/>
  <c r="AB42" i="18"/>
  <c r="AH34" i="18"/>
  <c r="P10" i="18"/>
  <c r="V34" i="18"/>
  <c r="P42" i="18"/>
  <c r="V42" i="18"/>
  <c r="AH42" i="18"/>
  <c r="AB26" i="18"/>
  <c r="AH26" i="18"/>
  <c r="V26" i="18"/>
  <c r="AB34" i="18"/>
  <c r="V10" i="18"/>
  <c r="AH18" i="18"/>
  <c r="J34" i="18"/>
  <c r="J10" i="18"/>
  <c r="AB10" i="18"/>
  <c r="J18" i="18"/>
  <c r="P45" i="1"/>
  <c r="P26" i="18"/>
  <c r="J26" i="18"/>
  <c r="AH10" i="18"/>
  <c r="P18" i="18"/>
  <c r="V18" i="18"/>
  <c r="X42" i="18"/>
  <c r="AD34" i="18"/>
  <c r="AD10" i="18"/>
  <c r="AD26" i="18"/>
  <c r="L10" i="18"/>
  <c r="L42" i="18"/>
  <c r="L26" i="18"/>
  <c r="X18" i="18"/>
  <c r="X34" i="18"/>
  <c r="X10" i="18"/>
  <c r="R18" i="18"/>
  <c r="AJ10" i="18"/>
  <c r="AD42" i="18"/>
  <c r="AJ34" i="18"/>
  <c r="R26" i="18"/>
  <c r="O51" i="1"/>
  <c r="L18" i="18"/>
  <c r="AJ26" i="18"/>
  <c r="AD18" i="18"/>
  <c r="R34" i="18"/>
  <c r="L34" i="18"/>
  <c r="AJ42" i="18"/>
  <c r="R10" i="18"/>
  <c r="R42" i="18"/>
  <c r="X26" i="18"/>
  <c r="AJ18" i="18"/>
  <c r="P51" i="1"/>
  <c r="T14" i="18"/>
  <c r="AL38" i="18"/>
  <c r="N14" i="18"/>
  <c r="Z6" i="18"/>
  <c r="T38" i="18"/>
  <c r="T22" i="18"/>
  <c r="AL14" i="18"/>
  <c r="N22" i="18"/>
  <c r="P21" i="1"/>
  <c r="AF22" i="18"/>
  <c r="N6" i="18"/>
  <c r="AF6" i="18"/>
  <c r="AF38" i="18"/>
  <c r="O21" i="1"/>
  <c r="N38" i="18"/>
  <c r="AL30" i="18"/>
  <c r="AL22" i="18"/>
  <c r="T6" i="18"/>
  <c r="AF14" i="18"/>
  <c r="AF30" i="18"/>
  <c r="Z22" i="18"/>
  <c r="T30" i="18"/>
  <c r="Z30" i="18"/>
  <c r="AL6" i="18"/>
  <c r="Z14" i="18"/>
  <c r="Z38" i="18"/>
  <c r="N30" i="18"/>
  <c r="J40" i="18"/>
  <c r="AB40" i="18"/>
  <c r="AH32" i="18"/>
  <c r="AB24" i="18"/>
  <c r="V16" i="18"/>
  <c r="O27" i="1"/>
  <c r="J16" i="18"/>
  <c r="P32" i="18"/>
  <c r="V24" i="18"/>
  <c r="P24" i="18"/>
  <c r="V40" i="18"/>
  <c r="P16" i="18"/>
  <c r="P40" i="18"/>
  <c r="V32" i="18"/>
  <c r="AH16" i="18"/>
  <c r="AB16" i="18"/>
  <c r="V8" i="18"/>
  <c r="AH24" i="18"/>
  <c r="AH8" i="18"/>
  <c r="AH40" i="18"/>
  <c r="J8" i="18"/>
  <c r="AB32" i="18"/>
  <c r="AB8" i="18"/>
  <c r="J24" i="18"/>
  <c r="J32" i="18"/>
  <c r="P8" i="18"/>
  <c r="P27" i="1"/>
  <c r="Z42" i="18"/>
  <c r="T18" i="18"/>
  <c r="AF34" i="18"/>
  <c r="AF42" i="18"/>
  <c r="N42" i="18"/>
  <c r="Z18" i="18"/>
  <c r="AL10" i="18"/>
  <c r="AL26" i="18"/>
  <c r="AF26" i="18"/>
  <c r="Z10" i="18"/>
  <c r="N18" i="18"/>
  <c r="T26" i="18"/>
  <c r="AF10" i="18"/>
  <c r="T34" i="18"/>
  <c r="N26" i="18"/>
  <c r="AL18" i="18"/>
  <c r="N10" i="18"/>
  <c r="AF18" i="18"/>
  <c r="Z26" i="18"/>
  <c r="AL34" i="18"/>
  <c r="O57" i="1"/>
  <c r="Z34" i="18"/>
  <c r="T10" i="18"/>
  <c r="P57" i="1"/>
  <c r="AL42" i="18"/>
  <c r="N34" i="18"/>
  <c r="T42" i="18"/>
  <c r="P14" i="18"/>
  <c r="V22" i="18"/>
  <c r="V14" i="18"/>
  <c r="P22" i="18"/>
  <c r="V38" i="18"/>
  <c r="AH14" i="18"/>
  <c r="AH38" i="18"/>
  <c r="J14" i="18"/>
  <c r="AB22" i="18"/>
  <c r="V30" i="18"/>
  <c r="AB14" i="18"/>
  <c r="AB38" i="18"/>
  <c r="J30" i="18"/>
  <c r="P38" i="18"/>
  <c r="AB6" i="18"/>
  <c r="O11" i="1"/>
  <c r="AD11" i="1" s="1"/>
  <c r="AH30" i="18"/>
  <c r="J38" i="18"/>
  <c r="AH6" i="18"/>
  <c r="V6" i="18"/>
  <c r="AB30" i="18"/>
  <c r="J22" i="18"/>
  <c r="J6" i="18"/>
  <c r="P30" i="18"/>
  <c r="AH22" i="18"/>
  <c r="P6" i="18"/>
  <c r="P11" i="1"/>
  <c r="AH12" i="18"/>
  <c r="J20" i="18"/>
  <c r="J44" i="18"/>
  <c r="AB28" i="18"/>
  <c r="P28" i="18"/>
  <c r="P63" i="1"/>
  <c r="P12" i="18"/>
  <c r="AH20" i="18"/>
  <c r="P44" i="18"/>
  <c r="AB12" i="18"/>
  <c r="P20" i="18"/>
  <c r="J36" i="18"/>
  <c r="P36" i="18"/>
  <c r="AB44" i="18"/>
  <c r="V44" i="18"/>
  <c r="J28" i="18"/>
  <c r="AH36" i="18"/>
  <c r="V12" i="18"/>
  <c r="V28" i="18"/>
  <c r="AH44" i="18"/>
  <c r="AB20" i="18"/>
  <c r="AB36" i="18"/>
  <c r="AH28" i="18"/>
  <c r="V36" i="18"/>
  <c r="V20" i="18"/>
  <c r="O63" i="1"/>
  <c r="AD63" i="1" s="1"/>
  <c r="AC63" i="1" s="1"/>
  <c r="J12" i="18"/>
  <c r="AF24" i="18"/>
  <c r="AF32" i="18"/>
  <c r="T40" i="18"/>
  <c r="O39" i="1"/>
  <c r="Z40" i="18"/>
  <c r="AL8" i="18"/>
  <c r="AF8" i="18"/>
  <c r="T8" i="18"/>
  <c r="Z16" i="18"/>
  <c r="T24" i="18"/>
  <c r="AL24" i="18"/>
  <c r="Z32" i="18"/>
  <c r="N32" i="18"/>
  <c r="N16" i="18"/>
  <c r="Z8" i="18"/>
  <c r="AL40" i="18"/>
  <c r="N8" i="18"/>
  <c r="N24" i="18"/>
  <c r="T32" i="18"/>
  <c r="T16" i="18"/>
  <c r="AF40" i="18"/>
  <c r="AF16" i="18"/>
  <c r="AL32" i="18"/>
  <c r="N40" i="18"/>
  <c r="Z24" i="18"/>
  <c r="AL16" i="18"/>
  <c r="P39" i="1"/>
  <c r="AC11" i="1" l="1"/>
  <c r="P16" i="19" s="1"/>
  <c r="AD12" i="1"/>
  <c r="V25" i="19"/>
  <c r="V45" i="19"/>
  <c r="J15" i="19"/>
  <c r="AB45" i="19"/>
  <c r="AH25" i="19"/>
  <c r="AH55" i="19"/>
  <c r="AB15" i="19"/>
  <c r="P15" i="19"/>
  <c r="P45" i="19"/>
  <c r="V15" i="19"/>
  <c r="J35" i="19"/>
  <c r="AH45" i="19"/>
  <c r="J25" i="19"/>
  <c r="AB35" i="19"/>
  <c r="AH15" i="19"/>
  <c r="V35" i="19"/>
  <c r="J55" i="19"/>
  <c r="AB55" i="19"/>
  <c r="AE63" i="1"/>
  <c r="AB25" i="19"/>
  <c r="AH35" i="19"/>
  <c r="P55" i="19"/>
  <c r="J45" i="19"/>
  <c r="P25" i="19"/>
  <c r="P35" i="19"/>
  <c r="V55" i="19"/>
  <c r="AC12" i="1" l="1"/>
  <c r="AI36" i="19" s="1"/>
  <c r="V36" i="19"/>
  <c r="V6" i="19"/>
  <c r="V16" i="19"/>
  <c r="P26" i="19"/>
  <c r="J26" i="19"/>
  <c r="V26" i="19"/>
  <c r="J36" i="19"/>
  <c r="J16" i="19"/>
  <c r="P36" i="19"/>
  <c r="AB26" i="19"/>
  <c r="AB36" i="19"/>
  <c r="J6" i="19"/>
  <c r="P46" i="19"/>
  <c r="AB6" i="19"/>
  <c r="AH36" i="19"/>
  <c r="AB46" i="19"/>
  <c r="AH46" i="19"/>
  <c r="V46" i="19"/>
  <c r="AH16" i="19"/>
  <c r="AH26" i="19"/>
  <c r="AH6" i="19"/>
  <c r="J46" i="19"/>
  <c r="AE11" i="1"/>
  <c r="AB16" i="19"/>
  <c r="P6" i="19"/>
  <c r="W6" i="19" l="1"/>
  <c r="K36" i="19"/>
  <c r="Q16" i="19"/>
  <c r="W46" i="19"/>
  <c r="AI16" i="19"/>
  <c r="AC16" i="19"/>
  <c r="K26" i="19"/>
  <c r="K6" i="19"/>
  <c r="AI6" i="19"/>
  <c r="AE12" i="1"/>
  <c r="Q46" i="19"/>
  <c r="W26" i="19"/>
  <c r="AI26" i="19"/>
  <c r="Q36" i="19"/>
  <c r="Q26" i="19"/>
  <c r="AI46" i="19"/>
  <c r="K16" i="19"/>
  <c r="AC26" i="19"/>
  <c r="AC6" i="19"/>
  <c r="Q6" i="19"/>
  <c r="W16" i="19"/>
  <c r="AC46" i="19"/>
  <c r="AC36" i="19"/>
  <c r="K46" i="19"/>
  <c r="W36" i="19"/>
  <c r="AJ46" i="19"/>
  <c r="L26" i="19" l="1"/>
  <c r="AJ16" i="19"/>
  <c r="X46" i="19"/>
  <c r="L6" i="19"/>
  <c r="AJ6" i="19"/>
  <c r="AD46" i="19"/>
  <c r="L16" i="19"/>
  <c r="AD16" i="19"/>
  <c r="R16" i="19"/>
  <c r="L46" i="19"/>
  <c r="R46" i="19"/>
  <c r="R6" i="19"/>
  <c r="L36" i="19"/>
  <c r="AD26" i="19"/>
  <c r="X6" i="19"/>
  <c r="AJ26" i="19"/>
  <c r="X26" i="19"/>
  <c r="AD6" i="19"/>
  <c r="AJ36" i="19"/>
  <c r="R36" i="19"/>
  <c r="X16" i="19"/>
  <c r="R26" i="19"/>
  <c r="X36" i="19"/>
  <c r="AD36" i="19"/>
  <c r="M36" i="19"/>
  <c r="S46" i="19"/>
  <c r="S26" i="19"/>
  <c r="AE26" i="19"/>
  <c r="AE6" i="19"/>
  <c r="S36" i="19"/>
  <c r="AK26" i="19"/>
  <c r="Y36" i="19"/>
  <c r="S6" i="19"/>
  <c r="M26" i="19"/>
  <c r="Y16" i="19"/>
  <c r="Y26" i="19"/>
  <c r="AK6" i="19"/>
  <c r="S16" i="19"/>
  <c r="Y6" i="19"/>
  <c r="AK36" i="19"/>
  <c r="AK46" i="19"/>
  <c r="M16" i="19"/>
  <c r="M46" i="19"/>
  <c r="Y46" i="19"/>
  <c r="AE16" i="19"/>
  <c r="M6" i="19"/>
  <c r="AK16" i="19"/>
  <c r="AE46" i="19"/>
  <c r="AE3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 Andru</author>
    <author>FAMILIA AGAMEZ NUÑEZ</author>
  </authors>
  <commentList>
    <comment ref="C6" authorId="0" shapeId="0" xr:uid="{65126B5D-5C4A-46F2-9D91-12341A88DC81}">
      <text>
        <r>
          <rPr>
            <b/>
            <sz val="9"/>
            <color indexed="81"/>
            <rFont val="Tahoma"/>
            <family val="2"/>
          </rPr>
          <t>Traer la Información de la caracterización del proceso.</t>
        </r>
      </text>
    </comment>
    <comment ref="C7" authorId="0" shapeId="0" xr:uid="{AFE3232A-B667-4A59-BC34-C53A2FBF3BE3}">
      <text>
        <r>
          <rPr>
            <b/>
            <sz val="9"/>
            <color indexed="81"/>
            <rFont val="Tahoma"/>
            <family val="2"/>
          </rPr>
          <t>Traer la Información de la caracterización del proceso.</t>
        </r>
        <r>
          <rPr>
            <sz val="9"/>
            <color indexed="81"/>
            <rFont val="Tahoma"/>
            <family val="2"/>
          </rPr>
          <t xml:space="preserve">
</t>
        </r>
      </text>
    </comment>
    <comment ref="A9" authorId="0" shapeId="0" xr:uid="{180E2CFB-6BE8-4C9C-843D-3531BBEB5140}">
      <text>
        <r>
          <rPr>
            <b/>
            <sz val="9"/>
            <color indexed="81"/>
            <rFont val="Tahoma"/>
            <family val="2"/>
          </rPr>
          <t>Número consecutivo de los riesgos que se identifican.</t>
        </r>
        <r>
          <rPr>
            <sz val="9"/>
            <color indexed="81"/>
            <rFont val="Tahoma"/>
            <family val="2"/>
          </rPr>
          <t xml:space="preserve">
</t>
        </r>
      </text>
    </comment>
    <comment ref="B9" authorId="0" shapeId="0" xr:uid="{4EA3959D-77C4-45B6-A2B0-D25BC4E1103D}">
      <text>
        <r>
          <rPr>
            <b/>
            <sz val="9"/>
            <color indexed="81"/>
            <rFont val="Tahoma"/>
            <family val="2"/>
          </rPr>
          <t>Consulte su matriz de activos de información.</t>
        </r>
      </text>
    </comment>
    <comment ref="D9" authorId="0" shapeId="0" xr:uid="{1D95170F-76E1-43CE-AA86-FBAB779DAE79}">
      <text>
        <r>
          <rPr>
            <b/>
            <sz val="9"/>
            <color rgb="FF000000"/>
            <rFont val="Tahoma"/>
            <family val="2"/>
          </rPr>
          <t>En el manual de gestión de riesgos de seguridad de la información, encontrará sugerencias de AMENAZAS que puede usar o ajustar según se requiera.</t>
        </r>
      </text>
    </comment>
    <comment ref="E9" authorId="0" shapeId="0" xr:uid="{DDD049DC-8E96-4A96-8554-A83C4EAE47A0}">
      <text>
        <r>
          <rPr>
            <b/>
            <sz val="9"/>
            <color indexed="81"/>
            <rFont val="Tahoma"/>
            <family val="2"/>
          </rPr>
          <t>En el manual de gestión de riesgos de seguridad de la información, encontrará sugerencias de VULNERABILIDADES que puede usar o ajustar según se requiera.</t>
        </r>
        <r>
          <rPr>
            <sz val="9"/>
            <color indexed="81"/>
            <rFont val="Tahoma"/>
            <family val="2"/>
          </rPr>
          <t xml:space="preserve">
</t>
        </r>
      </text>
    </comment>
    <comment ref="S9" authorId="0" shapeId="0" xr:uid="{B9095846-A317-4764-BEE9-6DD6DA04D193}">
      <text>
        <r>
          <rPr>
            <b/>
            <sz val="9"/>
            <color indexed="81"/>
            <rFont val="Tahoma"/>
            <family val="2"/>
          </rPr>
          <t>Este campo es automático y se diligencia al seleccionar el tipo de control (Columna T)</t>
        </r>
      </text>
    </comment>
    <comment ref="AI9" authorId="1" shapeId="0" xr:uid="{AC2D8640-8A91-4F54-8A5C-37AED0B439F4}">
      <text>
        <r>
          <rPr>
            <b/>
            <sz val="9"/>
            <color indexed="81"/>
            <rFont val="Tahoma"/>
            <family val="2"/>
          </rPr>
          <t>FAMILIA AGAMEZ NUÑEZ:</t>
        </r>
        <r>
          <rPr>
            <sz val="9"/>
            <color indexed="81"/>
            <rFont val="Tahoma"/>
            <family val="2"/>
          </rPr>
          <t xml:space="preserve">
Sacar la copia. 1 de marzo, 1 </t>
        </r>
      </text>
    </comment>
    <comment ref="AJ9" authorId="1" shapeId="0" xr:uid="{1ECEE503-D6D2-455B-89BD-3CCAA88FFD5D}">
      <text>
        <r>
          <rPr>
            <b/>
            <sz val="9"/>
            <color indexed="81"/>
            <rFont val="Tahoma"/>
            <family val="2"/>
          </rPr>
          <t>FAMILIA AGAMEZ NUÑEZ:</t>
        </r>
        <r>
          <rPr>
            <sz val="9"/>
            <color indexed="81"/>
            <rFont val="Tahoma"/>
            <family val="2"/>
          </rPr>
          <t xml:space="preserve">
Fecha en q hagpo seguimiento en el año, feb, junio, novi</t>
        </r>
      </text>
    </comment>
    <comment ref="AK9" authorId="1" shapeId="0" xr:uid="{89CABC5B-AB99-4645-9342-1353CAC98121}">
      <text>
        <r>
          <rPr>
            <b/>
            <sz val="9"/>
            <color indexed="81"/>
            <rFont val="Tahoma"/>
            <family val="2"/>
          </rPr>
          <t>FAMILIA AGAMEZ NUÑEZ:</t>
        </r>
        <r>
          <rPr>
            <sz val="9"/>
            <color indexed="81"/>
            <rFont val="Tahoma"/>
            <family val="2"/>
          </rPr>
          <t xml:space="preserve">
Seguimiento de cada una de las actividades</t>
        </r>
      </text>
    </comment>
  </commentList>
</comments>
</file>

<file path=xl/metadata.xml><?xml version="1.0" encoding="utf-8"?>
<metadata xmlns="http://schemas.openxmlformats.org/spreadsheetml/2006/main" xmlns:xlrd="http://schemas.microsoft.com/office/spreadsheetml/2017/richdata">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xmlns:xda="http://schemas.microsoft.com/office/spreadsheetml/2017/dynamicarray"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<sst xmlns="http://schemas.openxmlformats.org/spreadsheetml/2006/main" count="436" uniqueCount="295">
  <si>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</si>
  <si>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</si>
  <si>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</si>
  <si>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</si>
  <si>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</si>
  <si>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</si>
  <si>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</si>
  <si>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</si>
  <si>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</si>
  <si>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</si>
  <si>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</si>
  <si>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</si>
  <si>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</si>
  <si>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</si>
  <si>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</si>
  <si>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</si>
  <si>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</si>
  <si>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</si>
  <si>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</si>
  <si>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</si>
  <si>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</si>
  <si>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</si>
  <si>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</si>
  <si>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</si>
  <si>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</si>
  <si>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</si>
  <si>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</si>
  <si>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</si>
  <si>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</si>
  <si>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</si>
  <si>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</si>
  <si>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</si>
  <si>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</si>
  <si>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</si>
  <si>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</si>
  <si>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</si>
  <si>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</si>
  <si>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</si>
  <si>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</si>
  <si>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</si>
  <si>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</si>
  <si>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</si>
  <si>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</si>
  <si>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</si>
  <si>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</si>
  <si>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</si>
  <si>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</si>
  <si>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</si>
  <si>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</si>
  <si>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</si>
  <si>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</si>
  <si>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</si>
  <si>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</si>
  <si>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</si>
  <si>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</si>
  <si>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</si>
  <si>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</si>
  <si>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</si>
  <si>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</si>
  <si>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</si>
  <si>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</si>
  <si>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</si>
  <si>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</si>
  <si>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</si>
  <si>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</si>
  <si>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</si>
  <si>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</si>
  <si>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</si>
  <si>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</si>
  <si>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</si>
  <si>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</si>
  <si>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</si>
  <si>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</si>
  <si>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</si>
  <si>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</si>
  <si>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</si>
  <si>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</si>
  <si>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</si>
  <si>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</si>
  <si>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</si>
  <si>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</si>
  <si>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</si>
  <si>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</si>
  <si>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</si>
  <si>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</si>
  <si>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</si>
  <si>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</si>
  <si>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</si>
  <si>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</si>
  <si>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</si>
  <si>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</si>
  <si>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</si>
  <si>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</si>
  <si>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</si>
  <si>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</si>
  <si>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</si>
  <si>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</si>
  <si>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</si>
  <si>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</si>
  <si>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</si>
  <si>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</si>
  <si>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</si>
  <si>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</si>
  <si>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</si>
  <si>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</si>
  <si>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</si>
  <si>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</si>
  <si>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</si>
  <si>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</si>
  <si>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</si>
  <si>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</si>
  <si>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</si>
  <si>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</si>
  <si>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</si>
  <si>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</si>
  <si>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</si>
  <si>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</si>
  <si>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</si>
  <si>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</si>
  <si>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</si>
  <si>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</si>
  <si>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</si>
  <si>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</si>
  <si>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</si>
  <si>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</si>
  <si>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</si>
  <si>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</si>
  <si>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</si>
  <si>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</si>
  <si>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</si>
  <si>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</si>
  <si>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</si>
  <si>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</si>
  <si>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</si>
  <si>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</si>
  <si>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</si>
  <si>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</si>
  <si>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</si>
  <si>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</si>
  <si>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</si>
  <si>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</si>
  <si>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</si>
  <si>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</si>
  <si>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</si>
  <si>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</si>
  <si>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</si>
  <si>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</si>
  <si>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</si>
  <si>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</si>
  <si>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</si>
  <si>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</si>
  <si>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</si>
  <si>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</si>
  <si>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</si>
  <si>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</si>
  <si>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</si>
  <si>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</si>
  <si>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</si>
  <si>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</si>
  <si>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</si>
  <si>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</si>
  <si>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</si>
  <si>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</si>
  <si>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</si>
  <si>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</si>
  <si>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</si>
  <si>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</si>
  <si>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</si>
  <si>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</si>
  <si>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</si>
  <si>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</si>
  <si>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</si>
  <si>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</si>
  <si>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</si>
  <si>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</si>
  <si>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</si>
  <si>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</si>
  <si>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</si>
  <si>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</si>
  <si>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</si>
  <si>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</si>
  <si>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</si>
  <si>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</si>
  <si>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</si>
  <si>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</si>
  <si>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</si>
  <si>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</si>
  <si>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</si>
  <si>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</si>
  <si>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</si>
  <si>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</si>
  <si>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</si>
  <si>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</si>
  <si>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</si>
  <si>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</si>
  <si>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</si>
  <si>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</si>
  <si>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</si>
  <si>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</si>
  <si>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</si>
  <si>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</si>
  <si>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</si>
  <si>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</si>
  <si>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</si>
  <si>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</si>
  <si>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</si>
  <si>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</si>
  <si>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</si>
  <si>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</si>
  <si>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</si>
  <si>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</si>
  <si>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</si>
  <si>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</si>
  <si>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</si>
  <si>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</si>
  <si>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</si>
  <si>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</si>
  <si>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</si>
  <si>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</si>
  <si>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</si>
  <si>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</si>
  <si>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</si>
  <si>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Diligencie el objetivo del proceso o dependencia. Consulte la caracterización del proceso o dependencia en Kawak.</t>
  </si>
  <si>
    <t>Diligencie el alcance del proceso o dependencia. Consulte la caracterización del proceso o dependencia en Kawak.</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</si>
  <si>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</si>
  <si>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</si>
  <si>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</si>
  <si>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Circunstancias bajo las cuales se presenta el riesgo, es la situación más evidente frente al riesgo, redacte de la forma más concreta posible. 
En el manual de gestión de riesgos de seguridad de la información, consulte el numeral 10.3 Amenazas, verifique en la tabla de Amenazas si hay algunas de las amenazas comunes que le aplique, o adáptela de acuerdo a su necesidad, recuerde que la información allí consignada es una guía de referencia.</t>
  </si>
  <si>
    <t>Causa principal o básica, corresponde a las razones por la cuales se puede presentar el riesgo por la falta de un control, redacte de la forma más concreta posible.
En el manual de gestión de riesgos de seguridad de la información, consulte el numeral 10.4 Amenazas, verifique en la tabla de Vulnerabilidades si hay algunas de las vulnerabilidades comunes que le aplique, o adáptela de acuerdo a su necesidad, recuerde que la información allí consignada es una guía de referencia.</t>
  </si>
  <si>
    <t>Seleccione de la Lista desplegable el tipo de riesgo, hay 3 riesgos asociados a seguridad de la información y 4 asociados a bases de datos personales.
En el manual de gestión de riesgos de seguridad de la información, consulte el numeral 10.2 Riesgos de Seguridad de la Información y Bases de Datos Personales.</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</si>
  <si>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</si>
  <si>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En el manual de gestión de riesgos de seguridad de la información, consulte el numeral 10.5 Clasificación del Riesgo, en el cual se encuentra la descripción de cada uno.</t>
  </si>
  <si>
    <t>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11.1 Probabilidad, en el cual se encuentra la tabla Análisis de Probabilidad, con la descripción de cada uno, de igual forma también se encuentra en el instrumento en la hoja “Tabla Probabilidad”.</t>
  </si>
  <si>
    <t>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11.2 Impacto, en el cual se encuentra la tabla Análisis de Impacto.</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</si>
  <si>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</si>
  <si>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</si>
  <si>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</si>
  <si>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</si>
  <si>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</si>
  <si>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</si>
  <si>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</si>
  <si>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</si>
  <si>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</si>
  <si>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</si>
  <si>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</si>
  <si>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</si>
  <si>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</si>
  <si>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DESPACHO - SECRETARÍA DISTRITAL DE CULTURA, RECREACIÓN Y DEPORTE</t>
  </si>
  <si>
    <t>OFICINA DE CONTROL INTERNO</t>
  </si>
  <si>
    <t>OFICINA DE CONTROL INTERNO DISCIPLINARIO</t>
  </si>
  <si>
    <t>OFICINA ASESORA DE JURÍDICA</t>
  </si>
  <si>
    <t>OFICINA ASESORA DE COMUNICACIONES</t>
  </si>
  <si>
    <t>OFICINA ASESORA DE PLANEACIÓN</t>
  </si>
  <si>
    <t>OFICINA DE TECNOLOGÍAS DE LA INFORMACIÓN</t>
  </si>
  <si>
    <t>DIRECCIÓN DE FOMENTO</t>
  </si>
  <si>
    <t>DIRECCIÓN DE ASUNTOS LOCALES Y PARTICIPACIÓN</t>
  </si>
  <si>
    <t>DIRECCIÓN DE ECONOMÍA, ESTUDIOS Y POLÍTICA</t>
  </si>
  <si>
    <t>DIRECCIÓN DE PERSONAS JURÍDICAS</t>
  </si>
  <si>
    <t>SUBSECRETARÍA DISTRITAL DE CULTURA CIUDADANA Y GESTIÓN DEL CONOCIMIENTO</t>
  </si>
  <si>
    <t>DIRECCIÓN DEL OBSERVATORIO Y GESTIÓN DEL CONOCIMIENTO CULTURAL</t>
  </si>
  <si>
    <t>DIRECCIÓN DE ARTE CULTURA Y PATRIMONIO</t>
  </si>
  <si>
    <t>SUBDIRECCIÓN DE GESTIÓN CULTURAL Y ARTÍSTICA</t>
  </si>
  <si>
    <t>SUBDIRECCIÓN DE INFRAESTRUCTURA CULTURAL Y PATRIMONIO CULTURAL</t>
  </si>
  <si>
    <t>DIRECCIÓN DE LECTURA Y BIBLIOTECAS</t>
  </si>
  <si>
    <t>DIRECCIÓN DE GESTIÓN CORPORATIVA</t>
  </si>
  <si>
    <t>GRUPO INTERNO DE TRABAJO DE TALENTO HUMANO</t>
  </si>
  <si>
    <t>GRUPO INTERNO DE TRABAJO DE GESTIÓN FINANCIERA</t>
  </si>
  <si>
    <t>GRUPO INTERNO DE TRABAJO DE CONTRATACIÓN</t>
  </si>
  <si>
    <t>GRUPO INTERNO DE TRABAJO DE GESTIÓN DE SERVICIOS ADMINISTRATIVOS</t>
  </si>
  <si>
    <t>GESTIÓN DOCUMENTAL, ARCHIVO Y CORRESPONDENCIA</t>
  </si>
  <si>
    <t>DIRECCIONAMIENTO ESTRATÉGICO</t>
  </si>
  <si>
    <t>COMUNICACIÓN ESTRATÉGICA</t>
  </si>
  <si>
    <t>GESTIÓN ESTRATÉGICA DE TI</t>
  </si>
  <si>
    <t>FORMULACIÓN Y SEGUIMIENTO DE POLÍTICAS PÚBLICAS</t>
  </si>
  <si>
    <t>PROMOCIÓN DE AGENTES Y PRÁCTICAS CULTURALES Y RECREODEPORTIVAS</t>
  </si>
  <si>
    <t>APROPIACIÓN DE LA INFRAESTUCTURA Y PATRIMONIO CULTURAL</t>
  </si>
  <si>
    <t>GESTIÓN DEL CONOCIMIENTO</t>
  </si>
  <si>
    <t>PARTICIPACIÓN CIUDADANA</t>
  </si>
  <si>
    <t>GESTIÓN OPERATIVA DE TI</t>
  </si>
  <si>
    <t>GESTIÓN JURÍDICA</t>
  </si>
  <si>
    <t>GESTIÓN FINANCIERA</t>
  </si>
  <si>
    <t>GESTIÓN DE TALENTO HUMANO</t>
  </si>
  <si>
    <t>RELACIÓN CON LA CIUDADANÍA</t>
  </si>
  <si>
    <t>GESTIÓN ADMINISTRATIVA</t>
  </si>
  <si>
    <t>GESTIÓN DOCUMENTAL</t>
  </si>
  <si>
    <t>SEGUIMIENTO Y EVALUACION DE LA GESTION</t>
  </si>
  <si>
    <t>Formular y adoptar de manera articulada las políticas, planes, programas y proyectos en los campos del arte, la cultura, el patrimonio cultural, la recreación, el deporte y la actividad física del Distrito Capital.</t>
  </si>
  <si>
    <t>Errores humanos</t>
  </si>
  <si>
    <t xml:space="preserve">Daños, modificaciones o eliminación de información de la matriz de cooperación internacional </t>
  </si>
  <si>
    <t xml:space="preserve">Daños, modificaciones o eliminación de información de la base de datos de cooperantes internacionales </t>
  </si>
  <si>
    <t xml:space="preserve">Posibilidad de perdida de integridad de la información correspondiente a la base de datos de los cooperantes internacionales, porque puede ser modificada, eliminada o dañada de forma intencional o no intencional por personas que tengan acceso al enlace compartido  en el drive de las herramientas colaborativas del correo electrónico de las profesionales asignadas para esta tarea. </t>
  </si>
  <si>
    <t xml:space="preserve">Posibilidad de perdida de integridad de la información correspondiente a la matriz de seguimiento a la cooperación internacional, porque puede ser modificada, eliminada o dañada de forma intencional o no intencional por personas que tengan acceso al enlace compartido en el drive de las herramientas colaborativas del correo electrónico de las profesionales asignadas para esta tarea. </t>
  </si>
  <si>
    <t>Descripción del Riesgo (qué, cómo y para qué)</t>
  </si>
  <si>
    <t xml:space="preserve">Realizar una copia de seguridad de la base de datos de los cooperantes internacionales una vez al mes en el drive, sin darle acceso a ninguno de los miembros del equipo. El responsable de sacar dicha copia es la contratista encargada de darle seguimiento a la matriz de cooperación </t>
  </si>
  <si>
    <t xml:space="preserve">Realizar una copia de seguridad de la matriz de cooperación internacional, una vez al mes en el drive, sin darle acceso a ninguno de los miembros del equipo. El responsable de sacar dicha copia es la contratista encargada de darle seguimiento a la matriz de cooperación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</si>
</sst>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family val="2"/>
    </font>
    <font>
      <b/>
      <sz val="9"/>
      <color indexed="81"/>
      <name val="Tahoma"/>
      <family val="2"/>
    </font>
    <font>
      <b/>
      <sz val="11"/>
      <name val="Calibri"/>
      <family val="2"/>
      <scheme val="minor"/>
    </font>
    <font>
      <sz val="9"/>
      <color rgb="FF000000"/>
      <name val="Arial Narrow"/>
      <family val="2"/>
      <charset val="1"/>
    </font>
    <font>
      <b/>
      <sz val="20"/>
      <color theme="1"/>
      <name val="Arial Narrow"/>
      <family val="2"/>
    </font>
    <font>
      <b/>
      <sz val="9"/>
      <color rgb="FF000000"/>
      <name val="Tahoma"/>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13" fillId="16" borderId="0" applyNumberFormat="0" applyBorder="0" applyAlignment="0" applyProtection="0"/>
  </cellStyleXfs>
  <cellXfs count="43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Fill="1" applyAlignment="1">
      <alignment vertical="center"/>
    </xf>
    <xf numFmtId="0" fontId="29" fillId="0" borderId="0" xfId="0" applyFont="1" applyFill="1"/>
    <xf numFmtId="0" fontId="27" fillId="0" borderId="0" xfId="0" applyFont="1"/>
    <xf numFmtId="0" fontId="0" fillId="0" borderId="0" xfId="0" pivotButton="1"/>
    <xf numFmtId="0" fontId="12" fillId="0" borderId="0" xfId="0" applyFont="1" applyBorder="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23" fillId="13" borderId="19" xfId="0" applyFont="1" applyFill="1" applyBorder="1" applyAlignment="1" applyProtection="1">
      <alignment horizontal="center" wrapText="1" readingOrder="1"/>
      <protection hidden="1"/>
    </xf>
    <xf numFmtId="0" fontId="0" fillId="3" borderId="0" xfId="0" applyFill="1"/>
    <xf numFmtId="0" fontId="49" fillId="3" borderId="51" xfId="2" applyFont="1" applyFill="1" applyBorder="1" applyProtection="1"/>
    <xf numFmtId="0" fontId="49" fillId="3" borderId="52" xfId="2" applyFont="1" applyFill="1" applyBorder="1" applyProtection="1"/>
    <xf numFmtId="0" fontId="49" fillId="3" borderId="53" xfId="2" applyFont="1" applyFill="1" applyBorder="1" applyProtection="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34" xfId="0" applyFont="1" applyFill="1" applyBorder="1" applyAlignment="1">
      <alignment horizontal="center" vertical="center" wrapText="1" readingOrder="1"/>
    </xf>
    <xf numFmtId="0" fontId="38" fillId="3" borderId="34" xfId="0" applyFont="1" applyFill="1" applyBorder="1" applyAlignment="1">
      <alignment horizontal="justify" vertical="center" wrapText="1" readingOrder="1"/>
    </xf>
    <xf numFmtId="9" fontId="37" fillId="3" borderId="43" xfId="0" applyNumberFormat="1"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8" fillId="3" borderId="33" xfId="0" applyFont="1" applyFill="1" applyBorder="1" applyAlignment="1">
      <alignment horizontal="justify" vertical="center" wrapText="1" readingOrder="1"/>
    </xf>
    <xf numFmtId="9" fontId="37" fillId="3" borderId="38" xfId="0" applyNumberFormat="1"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xf numFmtId="0" fontId="38" fillId="3" borderId="40" xfId="0" applyFont="1" applyFill="1" applyBorder="1" applyAlignment="1">
      <alignment horizontal="justify" vertical="center" wrapText="1" readingOrder="1"/>
    </xf>
    <xf numFmtId="0" fontId="38" fillId="3" borderId="41" xfId="0" applyFont="1" applyFill="1" applyBorder="1" applyAlignment="1">
      <alignment horizontal="center" vertical="center" wrapText="1" readingOrder="1"/>
    </xf>
    <xf numFmtId="0" fontId="46" fillId="3" borderId="0" xfId="0" applyFont="1" applyFill="1"/>
    <xf numFmtId="0" fontId="37" fillId="15" borderId="45" xfId="0" applyFont="1" applyFill="1" applyBorder="1" applyAlignment="1">
      <alignment horizontal="center" vertical="center" wrapText="1" readingOrder="1"/>
    </xf>
    <xf numFmtId="0" fontId="37" fillId="15" borderId="46"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14" xfId="2" applyFont="1" applyFill="1" applyBorder="1" applyProtection="1"/>
    <xf numFmtId="0" fontId="54" fillId="3" borderId="0" xfId="0" applyFont="1" applyFill="1" applyBorder="1" applyAlignment="1" applyProtection="1">
      <alignment horizontal="left" vertical="center" wrapText="1"/>
    </xf>
    <xf numFmtId="0" fontId="55" fillId="3" borderId="0" xfId="0" applyFont="1" applyFill="1" applyBorder="1" applyAlignment="1" applyProtection="1">
      <alignment horizontal="left" vertical="top" wrapText="1"/>
    </xf>
    <xf numFmtId="0" fontId="49" fillId="3" borderId="0" xfId="2" applyFont="1" applyFill="1" applyBorder="1" applyProtection="1"/>
    <xf numFmtId="0" fontId="49" fillId="3" borderId="15" xfId="2" applyFont="1" applyFill="1" applyBorder="1" applyProtection="1"/>
    <xf numFmtId="0" fontId="49" fillId="3" borderId="16" xfId="2" applyFont="1" applyFill="1" applyBorder="1" applyProtection="1"/>
    <xf numFmtId="0" fontId="49" fillId="3" borderId="18" xfId="2" applyFont="1" applyFill="1" applyBorder="1" applyProtection="1"/>
    <xf numFmtId="0" fontId="49" fillId="3" borderId="17" xfId="2" applyFont="1" applyFill="1" applyBorder="1" applyProtection="1"/>
    <xf numFmtId="0" fontId="53" fillId="3" borderId="0" xfId="2" applyFont="1" applyFill="1" applyBorder="1" applyAlignment="1" applyProtection="1">
      <alignment horizontal="left" vertical="center" wrapText="1"/>
    </xf>
    <xf numFmtId="0" fontId="49" fillId="3" borderId="0" xfId="2" applyFont="1" applyFill="1" applyBorder="1" applyAlignment="1" applyProtection="1">
      <alignment horizontal="left" vertical="center" wrapText="1"/>
    </xf>
    <xf numFmtId="0" fontId="49" fillId="3" borderId="0" xfId="2" quotePrefix="1" applyFont="1" applyFill="1" applyBorder="1" applyAlignment="1" applyProtection="1">
      <alignment horizontal="left" vertical="center" wrapText="1"/>
    </xf>
    <xf numFmtId="0" fontId="49" fillId="3" borderId="15" xfId="2" applyFont="1" applyFill="1" applyBorder="1" applyAlignment="1" applyProtection="1"/>
    <xf numFmtId="0" fontId="51" fillId="3" borderId="14" xfId="2" quotePrefix="1" applyFont="1" applyFill="1" applyBorder="1" applyAlignment="1" applyProtection="1">
      <alignment horizontal="left" vertical="top" wrapText="1"/>
    </xf>
    <xf numFmtId="0" fontId="52" fillId="3" borderId="0" xfId="2" quotePrefix="1" applyFont="1" applyFill="1" applyBorder="1" applyAlignment="1" applyProtection="1">
      <alignment horizontal="left" vertical="top" wrapText="1"/>
    </xf>
    <xf numFmtId="0" fontId="52"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8" fillId="17" borderId="33" xfId="5" applyFont="1" applyFill="1" applyBorder="1" applyAlignment="1">
      <alignment horizontal="center" vertical="center" wrapText="1"/>
    </xf>
    <xf numFmtId="0" fontId="59" fillId="18" borderId="33" xfId="0" applyFont="1" applyFill="1" applyBorder="1" applyAlignment="1">
      <alignment horizontal="left" vertical="center" wrapText="1"/>
    </xf>
    <xf numFmtId="0" fontId="58" fillId="17" borderId="77" xfId="5" applyFont="1" applyFill="1" applyBorder="1" applyAlignment="1">
      <alignment vertical="center" wrapText="1"/>
    </xf>
    <xf numFmtId="0" fontId="59" fillId="3" borderId="33"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2" fillId="0" borderId="0" xfId="0" applyFont="1"/>
    <xf numFmtId="0" fontId="59" fillId="18" borderId="76" xfId="0" applyFont="1" applyFill="1" applyBorder="1" applyAlignment="1">
      <alignment horizontal="left" vertical="center" wrapText="1"/>
    </xf>
    <xf numFmtId="0" fontId="0" fillId="3" borderId="33" xfId="0" applyFill="1" applyBorder="1"/>
    <xf numFmtId="0" fontId="63" fillId="19" borderId="79" xfId="4" applyFont="1" applyFill="1" applyBorder="1" applyAlignment="1">
      <alignment vertical="center" wrapText="1"/>
    </xf>
    <xf numFmtId="0" fontId="63" fillId="19" borderId="80" xfId="4" applyFont="1" applyFill="1" applyBorder="1" applyAlignment="1">
      <alignment vertical="center" wrapText="1"/>
    </xf>
    <xf numFmtId="0" fontId="63" fillId="3" borderId="80" xfId="4" applyFont="1" applyFill="1" applyBorder="1" applyAlignment="1">
      <alignment vertical="center" wrapText="1"/>
    </xf>
    <xf numFmtId="0" fontId="63" fillId="3" borderId="81" xfId="4" applyFont="1" applyFill="1" applyBorder="1" applyAlignment="1">
      <alignment vertical="center" wrapText="1"/>
    </xf>
    <xf numFmtId="0" fontId="63" fillId="20" borderId="80" xfId="4" applyFont="1" applyFill="1" applyBorder="1" applyAlignment="1">
      <alignment vertical="center" wrapText="1"/>
    </xf>
    <xf numFmtId="0" fontId="63" fillId="21" borderId="82" xfId="4" applyFont="1" applyFill="1" applyBorder="1" applyAlignment="1">
      <alignment vertical="center" wrapText="1"/>
    </xf>
    <xf numFmtId="0" fontId="1" fillId="0" borderId="8"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4" xfId="0" applyFont="1" applyBorder="1" applyAlignment="1" applyProtection="1">
      <alignment vertical="center" wrapText="1"/>
      <protection locked="0"/>
    </xf>
    <xf numFmtId="0" fontId="2" fillId="0" borderId="8"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1" fillId="0" borderId="8" xfId="0" applyFont="1" applyBorder="1" applyAlignment="1" applyProtection="1">
      <alignment vertical="top"/>
      <protection locked="0"/>
    </xf>
    <xf numFmtId="0" fontId="1" fillId="0" borderId="5" xfId="0" applyFont="1" applyBorder="1" applyAlignment="1" applyProtection="1">
      <alignment vertical="top"/>
      <protection locked="0"/>
    </xf>
    <xf numFmtId="0" fontId="2" fillId="0" borderId="4"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1" fillId="0" borderId="4" xfId="0" applyFont="1" applyBorder="1" applyAlignment="1" applyProtection="1">
      <alignment vertical="top"/>
    </xf>
    <xf numFmtId="0" fontId="1" fillId="0" borderId="8" xfId="0" applyFont="1" applyBorder="1" applyAlignment="1" applyProtection="1">
      <alignment vertical="top"/>
    </xf>
    <xf numFmtId="0" fontId="1" fillId="0" borderId="5" xfId="0" applyFont="1" applyBorder="1" applyAlignment="1" applyProtection="1">
      <alignment vertical="top"/>
    </xf>
    <xf numFmtId="0" fontId="4" fillId="0" borderId="8" xfId="0" applyFont="1" applyFill="1" applyBorder="1" applyAlignment="1" applyProtection="1">
      <alignment vertical="top" wrapText="1"/>
      <protection hidden="1"/>
    </xf>
    <xf numFmtId="0" fontId="4" fillId="0" borderId="5" xfId="0" applyFont="1" applyFill="1" applyBorder="1" applyAlignment="1" applyProtection="1">
      <alignment vertical="top" wrapText="1"/>
      <protection hidden="1"/>
    </xf>
    <xf numFmtId="9" fontId="1" fillId="0" borderId="8" xfId="0" applyNumberFormat="1" applyFont="1" applyBorder="1" applyAlignment="1" applyProtection="1">
      <alignment vertical="top" wrapText="1"/>
      <protection hidden="1"/>
    </xf>
    <xf numFmtId="9" fontId="1" fillId="0" borderId="5" xfId="0" applyNumberFormat="1" applyFont="1" applyBorder="1" applyAlignment="1" applyProtection="1">
      <alignment vertical="top" wrapText="1"/>
      <protection hidden="1"/>
    </xf>
    <xf numFmtId="9" fontId="1" fillId="0" borderId="8" xfId="0" applyNumberFormat="1" applyFont="1" applyBorder="1" applyAlignment="1" applyProtection="1">
      <alignment vertical="top" wrapText="1"/>
      <protection locked="0"/>
    </xf>
    <xf numFmtId="9" fontId="1" fillId="0" borderId="5" xfId="0" applyNumberFormat="1" applyFont="1" applyBorder="1" applyAlignment="1" applyProtection="1">
      <alignment vertical="top" wrapText="1"/>
      <protection locked="0"/>
    </xf>
    <xf numFmtId="9" fontId="1" fillId="0" borderId="4" xfId="0" applyNumberFormat="1" applyFont="1" applyBorder="1" applyAlignment="1" applyProtection="1">
      <alignment vertical="center" wrapText="1"/>
      <protection locked="0"/>
    </xf>
    <xf numFmtId="0" fontId="1" fillId="0" borderId="4" xfId="0" applyFont="1" applyBorder="1" applyAlignment="1" applyProtection="1">
      <alignment vertical="center"/>
      <protection locked="0"/>
    </xf>
    <xf numFmtId="0" fontId="4" fillId="0" borderId="4" xfId="0" applyFont="1" applyFill="1" applyBorder="1" applyAlignment="1" applyProtection="1">
      <alignment vertical="center" wrapText="1"/>
      <protection hidden="1"/>
    </xf>
    <xf numFmtId="9" fontId="1" fillId="0" borderId="4" xfId="0" applyNumberFormat="1" applyFont="1" applyBorder="1" applyAlignment="1" applyProtection="1">
      <alignment vertical="center" wrapText="1"/>
      <protection hidden="1"/>
    </xf>
    <xf numFmtId="0" fontId="2" fillId="3" borderId="4" xfId="0" applyFont="1" applyFill="1" applyBorder="1" applyAlignment="1" applyProtection="1">
      <alignment vertical="center" wrapText="1"/>
      <protection locked="0"/>
    </xf>
    <xf numFmtId="0" fontId="54" fillId="3" borderId="62" xfId="0" applyFont="1" applyFill="1" applyBorder="1" applyAlignment="1" applyProtection="1">
      <alignment horizontal="left" vertical="center" wrapText="1"/>
    </xf>
    <xf numFmtId="0" fontId="54" fillId="3" borderId="63" xfId="0" applyFont="1" applyFill="1" applyBorder="1" applyAlignment="1" applyProtection="1">
      <alignment horizontal="left" vertical="center" wrapText="1"/>
    </xf>
    <xf numFmtId="0" fontId="55" fillId="3" borderId="64" xfId="2" applyFont="1" applyFill="1" applyBorder="1" applyAlignment="1" applyProtection="1">
      <alignment horizontal="justify" vertical="center" wrapText="1"/>
    </xf>
    <xf numFmtId="0" fontId="55" fillId="3" borderId="65" xfId="2" applyFont="1" applyFill="1" applyBorder="1" applyAlignment="1" applyProtection="1">
      <alignment horizontal="justify" vertical="center" wrapText="1"/>
    </xf>
    <xf numFmtId="0" fontId="54" fillId="3" borderId="71" xfId="0" applyFont="1" applyFill="1" applyBorder="1" applyAlignment="1" applyProtection="1">
      <alignment horizontal="left" vertical="center" wrapText="1"/>
    </xf>
    <xf numFmtId="0" fontId="54" fillId="3" borderId="72" xfId="0" applyFont="1" applyFill="1" applyBorder="1" applyAlignment="1" applyProtection="1">
      <alignment horizontal="left" vertical="center" wrapText="1"/>
    </xf>
    <xf numFmtId="0" fontId="49" fillId="3" borderId="14" xfId="2" applyFont="1" applyFill="1" applyBorder="1" applyAlignment="1" applyProtection="1">
      <alignment horizontal="left" vertical="top" wrapText="1"/>
    </xf>
    <xf numFmtId="0" fontId="49" fillId="3" borderId="0" xfId="2" applyFont="1" applyFill="1" applyBorder="1" applyAlignment="1" applyProtection="1">
      <alignment horizontal="left" vertical="top" wrapText="1"/>
    </xf>
    <xf numFmtId="0" fontId="49" fillId="3" borderId="15" xfId="2" applyFont="1" applyFill="1" applyBorder="1" applyAlignment="1" applyProtection="1">
      <alignment horizontal="left" vertical="top" wrapText="1"/>
    </xf>
    <xf numFmtId="0" fontId="54" fillId="3" borderId="73" xfId="0" applyFont="1" applyFill="1" applyBorder="1" applyAlignment="1" applyProtection="1">
      <alignment horizontal="left" vertical="center" wrapText="1"/>
    </xf>
    <xf numFmtId="0" fontId="54" fillId="3" borderId="74" xfId="0" applyFont="1" applyFill="1" applyBorder="1" applyAlignment="1" applyProtection="1">
      <alignment horizontal="left" vertical="center" wrapText="1"/>
    </xf>
    <xf numFmtId="0" fontId="55" fillId="3" borderId="66" xfId="0" applyFont="1" applyFill="1" applyBorder="1" applyAlignment="1" applyProtection="1">
      <alignment horizontal="justify" vertical="center" wrapText="1"/>
    </xf>
    <xf numFmtId="0" fontId="55" fillId="3" borderId="67" xfId="0" applyFont="1" applyFill="1" applyBorder="1" applyAlignment="1" applyProtection="1">
      <alignment horizontal="justify" vertical="center" wrapText="1"/>
    </xf>
    <xf numFmtId="0" fontId="50" fillId="14" borderId="48" xfId="2" applyFont="1" applyFill="1" applyBorder="1" applyAlignment="1" applyProtection="1">
      <alignment horizontal="center" vertical="center" wrapText="1"/>
    </xf>
    <xf numFmtId="0" fontId="50" fillId="14" borderId="49" xfId="2" applyFont="1" applyFill="1" applyBorder="1" applyAlignment="1" applyProtection="1">
      <alignment horizontal="center" vertical="center" wrapText="1"/>
    </xf>
    <xf numFmtId="0" fontId="50" fillId="14" borderId="50" xfId="2" applyFont="1" applyFill="1" applyBorder="1" applyAlignment="1" applyProtection="1">
      <alignment horizontal="center" vertical="center" wrapText="1"/>
    </xf>
    <xf numFmtId="0" fontId="49" fillId="0" borderId="14" xfId="2" quotePrefix="1" applyFont="1" applyBorder="1" applyAlignment="1" applyProtection="1">
      <alignment horizontal="left" vertical="center" wrapText="1"/>
    </xf>
    <xf numFmtId="0" fontId="49" fillId="0" borderId="0" xfId="2" quotePrefix="1" applyFont="1" applyBorder="1" applyAlignment="1" applyProtection="1">
      <alignment horizontal="left" vertical="center" wrapText="1"/>
    </xf>
    <xf numFmtId="0" fontId="49" fillId="0" borderId="15" xfId="2" quotePrefix="1" applyFont="1" applyBorder="1" applyAlignment="1" applyProtection="1">
      <alignment horizontal="left" vertical="center" wrapText="1"/>
    </xf>
    <xf numFmtId="0" fontId="49" fillId="0" borderId="68" xfId="2" quotePrefix="1" applyFont="1" applyBorder="1" applyAlignment="1" applyProtection="1">
      <alignment horizontal="left" vertical="center" wrapText="1"/>
    </xf>
    <xf numFmtId="0" fontId="49" fillId="0" borderId="69" xfId="2" quotePrefix="1" applyFont="1" applyBorder="1" applyAlignment="1" applyProtection="1">
      <alignment horizontal="left" vertical="center" wrapText="1"/>
    </xf>
    <xf numFmtId="0" fontId="49" fillId="0" borderId="70" xfId="2" quotePrefix="1" applyFont="1" applyBorder="1" applyAlignment="1" applyProtection="1">
      <alignment horizontal="left" vertical="center" wrapText="1"/>
    </xf>
    <xf numFmtId="0" fontId="51" fillId="3" borderId="51" xfId="2" quotePrefix="1" applyFont="1" applyFill="1" applyBorder="1" applyAlignment="1" applyProtection="1">
      <alignment horizontal="left" vertical="top" wrapText="1"/>
    </xf>
    <xf numFmtId="0" fontId="52" fillId="3" borderId="52" xfId="2" quotePrefix="1" applyFont="1" applyFill="1" applyBorder="1" applyAlignment="1" applyProtection="1">
      <alignment horizontal="left" vertical="top" wrapText="1"/>
    </xf>
    <xf numFmtId="0" fontId="52" fillId="3" borderId="53" xfId="2" quotePrefix="1" applyFont="1" applyFill="1" applyBorder="1" applyAlignment="1" applyProtection="1">
      <alignment horizontal="left" vertical="top" wrapText="1"/>
    </xf>
    <xf numFmtId="0" fontId="49" fillId="0" borderId="14" xfId="2" quotePrefix="1" applyFont="1" applyBorder="1" applyAlignment="1" applyProtection="1">
      <alignment horizontal="left" vertical="top" wrapText="1"/>
    </xf>
    <xf numFmtId="0" fontId="49" fillId="0" borderId="0" xfId="2" quotePrefix="1" applyFont="1" applyBorder="1" applyAlignment="1" applyProtection="1">
      <alignment horizontal="left" vertical="top" wrapText="1"/>
    </xf>
    <xf numFmtId="0" fontId="49" fillId="0" borderId="15" xfId="2" quotePrefix="1" applyFont="1" applyBorder="1" applyAlignment="1" applyProtection="1">
      <alignment horizontal="left" vertical="top" wrapText="1"/>
    </xf>
    <xf numFmtId="0" fontId="54" fillId="14" borderId="54" xfId="3" applyFont="1" applyFill="1" applyBorder="1" applyAlignment="1" applyProtection="1">
      <alignment horizontal="center" vertical="center" wrapText="1"/>
    </xf>
    <xf numFmtId="0" fontId="54" fillId="14" borderId="55" xfId="3" applyFont="1" applyFill="1" applyBorder="1" applyAlignment="1" applyProtection="1">
      <alignment horizontal="center" vertical="center" wrapText="1"/>
    </xf>
    <xf numFmtId="0" fontId="54" fillId="14" borderId="56" xfId="2" applyFont="1" applyFill="1" applyBorder="1" applyAlignment="1" applyProtection="1">
      <alignment horizontal="center" vertical="center"/>
    </xf>
    <xf numFmtId="0" fontId="54"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4" fillId="3" borderId="58" xfId="3" applyFont="1" applyFill="1" applyBorder="1" applyAlignment="1" applyProtection="1">
      <alignment horizontal="left" vertical="top" wrapText="1" readingOrder="1"/>
    </xf>
    <xf numFmtId="0" fontId="54" fillId="3" borderId="59" xfId="3" applyFont="1" applyFill="1" applyBorder="1" applyAlignment="1" applyProtection="1">
      <alignment horizontal="left" vertical="top" wrapText="1" readingOrder="1"/>
    </xf>
    <xf numFmtId="0" fontId="55" fillId="3" borderId="60" xfId="2" applyFont="1" applyFill="1" applyBorder="1" applyAlignment="1" applyProtection="1">
      <alignment horizontal="justify" vertical="center" wrapText="1"/>
    </xf>
    <xf numFmtId="0" fontId="55" fillId="3" borderId="61" xfId="2" applyFont="1" applyFill="1" applyBorder="1" applyAlignment="1" applyProtection="1">
      <alignment horizontal="justify" vertical="center" wrapText="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3" borderId="0" xfId="0" applyFont="1" applyFill="1" applyBorder="1" applyAlignment="1">
      <alignment horizontal="left" vertical="center"/>
    </xf>
    <xf numFmtId="0" fontId="64" fillId="2" borderId="28" xfId="0" applyFont="1" applyFill="1" applyBorder="1" applyAlignment="1">
      <alignment horizontal="center" vertical="center"/>
    </xf>
    <xf numFmtId="0" fontId="64" fillId="2" borderId="29" xfId="0" applyFont="1" applyFill="1" applyBorder="1" applyAlignment="1">
      <alignment horizontal="center" vertical="center"/>
    </xf>
    <xf numFmtId="0" fontId="64" fillId="2" borderId="30" xfId="0" applyFont="1" applyFill="1" applyBorder="1" applyAlignment="1">
      <alignment horizontal="center" vertical="center"/>
    </xf>
    <xf numFmtId="0" fontId="64" fillId="2" borderId="3" xfId="0" applyFont="1" applyFill="1" applyBorder="1" applyAlignment="1">
      <alignment horizontal="center" vertical="center"/>
    </xf>
    <xf numFmtId="0" fontId="64" fillId="2" borderId="31" xfId="0" applyFont="1" applyFill="1" applyBorder="1" applyAlignment="1">
      <alignment horizontal="center" vertical="center"/>
    </xf>
    <xf numFmtId="0" fontId="6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wrapText="1"/>
    </xf>
    <xf numFmtId="0" fontId="24" fillId="2" borderId="6" xfId="0" applyFont="1" applyFill="1" applyBorder="1" applyAlignment="1">
      <alignment horizontal="left" vertical="center"/>
    </xf>
    <xf numFmtId="0" fontId="24" fillId="2" borderId="7" xfId="0" applyFont="1" applyFill="1" applyBorder="1" applyAlignment="1">
      <alignment horizontal="left" vertical="center"/>
    </xf>
    <xf numFmtId="0" fontId="26" fillId="2" borderId="4" xfId="0" applyFont="1" applyFill="1" applyBorder="1" applyAlignment="1">
      <alignment horizontal="center" vertical="center" textRotation="90"/>
    </xf>
    <xf numFmtId="0" fontId="26"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35" fillId="3" borderId="6" xfId="0" applyFont="1" applyFill="1" applyBorder="1" applyAlignment="1" applyProtection="1">
      <alignment horizontal="left" vertical="center"/>
      <protection locked="0"/>
    </xf>
    <xf numFmtId="0" fontId="35" fillId="3" borderId="10" xfId="0" applyFont="1" applyFill="1" applyBorder="1" applyAlignment="1" applyProtection="1">
      <alignment horizontal="left" vertical="center"/>
      <protection locked="0"/>
    </xf>
    <xf numFmtId="0" fontId="35" fillId="3" borderId="7" xfId="0" applyFont="1" applyFill="1" applyBorder="1" applyAlignment="1" applyProtection="1">
      <alignment horizontal="left" vertical="center"/>
      <protection locked="0"/>
    </xf>
    <xf numFmtId="0" fontId="35" fillId="3" borderId="6" xfId="0" applyFont="1" applyFill="1" applyBorder="1" applyAlignment="1" applyProtection="1">
      <alignment horizontal="left" vertical="center" wrapText="1"/>
      <protection locked="0"/>
    </xf>
    <xf numFmtId="0" fontId="35" fillId="3" borderId="10"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35" fillId="3" borderId="6" xfId="0" applyFont="1" applyFill="1" applyBorder="1" applyAlignment="1" applyProtection="1">
      <alignment horizontal="center" vertical="center"/>
      <protection locked="0"/>
    </xf>
    <xf numFmtId="0" fontId="35" fillId="3" borderId="10" xfId="0" applyFont="1" applyFill="1" applyBorder="1" applyAlignment="1" applyProtection="1">
      <alignment horizontal="center" vertical="center"/>
      <protection locked="0"/>
    </xf>
    <xf numFmtId="0" fontId="35" fillId="3" borderId="7" xfId="0" applyFont="1" applyFill="1" applyBorder="1" applyAlignment="1" applyProtection="1">
      <alignment horizontal="center" vertical="center"/>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0" xfId="0" applyFont="1" applyBorder="1" applyAlignment="1">
      <alignment horizontal="center" vertical="center"/>
    </xf>
    <xf numFmtId="0" fontId="17" fillId="0" borderId="19" xfId="0" applyFont="1" applyBorder="1" applyAlignment="1">
      <alignment horizontal="center" vertical="center" wrapText="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Border="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4" xfId="0" applyFont="1" applyBorder="1" applyAlignment="1">
      <alignment horizontal="center" vertical="center" wrapText="1"/>
    </xf>
    <xf numFmtId="0" fontId="43" fillId="0" borderId="0" xfId="0" applyFont="1" applyBorder="1" applyAlignment="1">
      <alignment horizontal="center" vertical="center"/>
    </xf>
    <xf numFmtId="0" fontId="43" fillId="0" borderId="14" xfId="0" applyFont="1" applyBorder="1" applyAlignment="1">
      <alignment horizontal="center" vertical="center"/>
    </xf>
    <xf numFmtId="0" fontId="43" fillId="0" borderId="0" xfId="0" applyFont="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Border="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13" xfId="0" applyFont="1" applyBorder="1" applyAlignment="1">
      <alignment horizontal="center" vertical="center"/>
    </xf>
    <xf numFmtId="0" fontId="43" fillId="0" borderId="15" xfId="0" applyFont="1" applyBorder="1" applyAlignment="1">
      <alignment horizontal="center" vertical="center"/>
    </xf>
    <xf numFmtId="0" fontId="43" fillId="0" borderId="17" xfId="0" applyFont="1" applyBorder="1" applyAlignment="1">
      <alignment horizontal="center" vertical="center"/>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Border="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Border="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43" fillId="0" borderId="19"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35" xfId="0" applyFont="1" applyFill="1" applyBorder="1" applyAlignment="1">
      <alignment horizontal="center" vertical="center" wrapText="1" readingOrder="1"/>
    </xf>
    <xf numFmtId="0" fontId="40" fillId="15" borderId="36" xfId="0" applyFont="1" applyFill="1" applyBorder="1" applyAlignment="1">
      <alignment horizontal="center" vertical="center" wrapText="1" readingOrder="1"/>
    </xf>
    <xf numFmtId="0" fontId="40" fillId="15" borderId="47" xfId="0" applyFont="1" applyFill="1" applyBorder="1" applyAlignment="1">
      <alignment horizontal="center" vertical="center" wrapText="1" readingOrder="1"/>
    </xf>
    <xf numFmtId="0" fontId="35" fillId="3" borderId="0" xfId="0" applyFont="1" applyFill="1" applyBorder="1" applyAlignment="1">
      <alignment horizontal="justify" vertical="center" wrapText="1"/>
    </xf>
    <xf numFmtId="0" fontId="37" fillId="15" borderId="44" xfId="0" applyFont="1" applyFill="1" applyBorder="1" applyAlignment="1">
      <alignment horizontal="center" vertical="center" wrapText="1" readingOrder="1"/>
    </xf>
    <xf numFmtId="0" fontId="37" fillId="15" borderId="45" xfId="0" applyFont="1" applyFill="1" applyBorder="1" applyAlignment="1">
      <alignment horizontal="center" vertical="center" wrapText="1" readingOrder="1"/>
    </xf>
    <xf numFmtId="0" fontId="37" fillId="3" borderId="42"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xf numFmtId="0" fontId="58" fillId="17" borderId="77" xfId="5" applyFont="1" applyFill="1" applyBorder="1" applyAlignment="1">
      <alignment horizontal="center" vertical="center" wrapText="1"/>
    </xf>
    <xf numFmtId="0" fontId="58" fillId="17" borderId="78" xfId="5" applyFont="1" applyFill="1" applyBorder="1" applyAlignment="1">
      <alignment horizontal="center" vertical="center" wrapText="1"/>
    </xf>
    <xf numFmtId="0" fontId="59" fillId="3" borderId="75" xfId="0" applyFont="1" applyFill="1" applyBorder="1" applyAlignment="1">
      <alignment horizontal="center" vertical="center" wrapText="1"/>
    </xf>
    <xf numFmtId="0" fontId="59" fillId="3" borderId="76" xfId="0" applyFont="1" applyFill="1" applyBorder="1" applyAlignment="1">
      <alignment horizontal="center" vertical="center" wrapText="1"/>
    </xf>
    <xf numFmtId="0" fontId="59" fillId="3" borderId="34" xfId="0" applyFont="1" applyFill="1" applyBorder="1" applyAlignment="1">
      <alignment horizontal="center" vertical="center" wrapText="1"/>
    </xf>
  </cellXfs>
  <cellStyles count="6">
    <cellStyle name="Énfasis6" xfId="5" builtinId="49"/>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25">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797894097224" createdVersion="6" refreshedVersion="8"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Ing. Andru" refreshedDate="44719.820464814817" createdVersion="8" refreshedVersion="8" minRefreshableVersion="3" recordCount="7" xr:uid="{232647FB-49CE-4F62-86F9-1427EE015CD3}">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93EAE15-6BF5-4951-A574-527CE7D42B2A}"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24" dataDxfId="223">
  <autoFilter ref="B209:C219" xr:uid="{00000000-0009-0000-0100-000001000000}"/>
  <tableColumns count="2">
    <tableColumn id="1" xr3:uid="{00000000-0010-0000-0000-000001000000}" name="Criterios" dataDxfId="222"/>
    <tableColumn id="2" xr3:uid="{00000000-0010-0000-0000-000002000000}" name="Subcriterios" dataDxfId="2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D9C1D77-F985-46AC-8A2D-D3F8D2DE7F8B}" name="Tabla5" displayName="Tabla5" ref="B228:C235" totalsRowShown="0" dataDxfId="220">
  <autoFilter ref="B228:C235" xr:uid="{ED9C1D77-F985-46AC-8A2D-D3F8D2DE7F8B}"/>
  <tableColumns count="2">
    <tableColumn id="1" xr3:uid="{D970216B-CA6C-4309-AD2F-B76087107514}" name="Criterios" dataDxfId="219"/>
    <tableColumn id="2" xr3:uid="{7675993B-4AC0-4FEA-A718-8F3290DD0C37}" name="Subcriterios" dataDxfId="21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8"/>
  <sheetViews>
    <sheetView topLeftCell="A14" zoomScale="110" zoomScaleNormal="110" workbookViewId="0">
      <selection activeCell="E19" sqref="E19:F19"/>
    </sheetView>
  </sheetViews>
  <sheetFormatPr baseColWidth="10" defaultColWidth="11.42578125"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95" t="s">
        <v>149</v>
      </c>
      <c r="C2" s="196"/>
      <c r="D2" s="196"/>
      <c r="E2" s="196"/>
      <c r="F2" s="196"/>
      <c r="G2" s="196"/>
      <c r="H2" s="197"/>
    </row>
    <row r="3" spans="2:8" x14ac:dyDescent="0.25">
      <c r="B3" s="85"/>
      <c r="C3" s="86"/>
      <c r="D3" s="86"/>
      <c r="E3" s="86"/>
      <c r="F3" s="86"/>
      <c r="G3" s="86"/>
      <c r="H3" s="87"/>
    </row>
    <row r="4" spans="2:8" ht="63" customHeight="1" x14ac:dyDescent="0.25">
      <c r="B4" s="198" t="s">
        <v>173</v>
      </c>
      <c r="C4" s="199"/>
      <c r="D4" s="199"/>
      <c r="E4" s="199"/>
      <c r="F4" s="199"/>
      <c r="G4" s="199"/>
      <c r="H4" s="200"/>
    </row>
    <row r="5" spans="2:8" ht="63" customHeight="1" x14ac:dyDescent="0.25">
      <c r="B5" s="201"/>
      <c r="C5" s="202"/>
      <c r="D5" s="202"/>
      <c r="E5" s="202"/>
      <c r="F5" s="202"/>
      <c r="G5" s="202"/>
      <c r="H5" s="203"/>
    </row>
    <row r="6" spans="2:8" ht="16.5" x14ac:dyDescent="0.25">
      <c r="B6" s="204" t="s">
        <v>147</v>
      </c>
      <c r="C6" s="205"/>
      <c r="D6" s="205"/>
      <c r="E6" s="205"/>
      <c r="F6" s="205"/>
      <c r="G6" s="205"/>
      <c r="H6" s="206"/>
    </row>
    <row r="7" spans="2:8" ht="95.25" customHeight="1" x14ac:dyDescent="0.25">
      <c r="B7" s="214" t="s">
        <v>151</v>
      </c>
      <c r="C7" s="215"/>
      <c r="D7" s="215"/>
      <c r="E7" s="215"/>
      <c r="F7" s="215"/>
      <c r="G7" s="215"/>
      <c r="H7" s="216"/>
    </row>
    <row r="8" spans="2:8" ht="16.5" x14ac:dyDescent="0.25">
      <c r="B8" s="122"/>
      <c r="C8" s="123"/>
      <c r="D8" s="123"/>
      <c r="E8" s="123"/>
      <c r="F8" s="123"/>
      <c r="G8" s="123"/>
      <c r="H8" s="124"/>
    </row>
    <row r="9" spans="2:8" ht="16.5" customHeight="1" x14ac:dyDescent="0.25">
      <c r="B9" s="207" t="s">
        <v>166</v>
      </c>
      <c r="C9" s="208"/>
      <c r="D9" s="208"/>
      <c r="E9" s="208"/>
      <c r="F9" s="208"/>
      <c r="G9" s="208"/>
      <c r="H9" s="209"/>
    </row>
    <row r="10" spans="2:8" ht="44.25" customHeight="1" x14ac:dyDescent="0.25">
      <c r="B10" s="207"/>
      <c r="C10" s="208"/>
      <c r="D10" s="208"/>
      <c r="E10" s="208"/>
      <c r="F10" s="208"/>
      <c r="G10" s="208"/>
      <c r="H10" s="209"/>
    </row>
    <row r="11" spans="2:8" ht="15.75" thickBot="1" x14ac:dyDescent="0.3">
      <c r="B11" s="110"/>
      <c r="C11" s="113"/>
      <c r="D11" s="118"/>
      <c r="E11" s="119"/>
      <c r="F11" s="119"/>
      <c r="G11" s="120"/>
      <c r="H11" s="121"/>
    </row>
    <row r="12" spans="2:8" ht="15.75" thickTop="1" x14ac:dyDescent="0.25">
      <c r="B12" s="110"/>
      <c r="C12" s="210" t="s">
        <v>148</v>
      </c>
      <c r="D12" s="211"/>
      <c r="E12" s="212" t="s">
        <v>167</v>
      </c>
      <c r="F12" s="213"/>
      <c r="G12" s="113"/>
      <c r="H12" s="114"/>
    </row>
    <row r="13" spans="2:8" ht="35.25" customHeight="1" x14ac:dyDescent="0.25">
      <c r="B13" s="110"/>
      <c r="C13" s="217" t="s">
        <v>163</v>
      </c>
      <c r="D13" s="218"/>
      <c r="E13" s="219" t="s">
        <v>220</v>
      </c>
      <c r="F13" s="220"/>
      <c r="G13" s="113"/>
      <c r="H13" s="114"/>
    </row>
    <row r="14" spans="2:8" ht="35.25" customHeight="1" x14ac:dyDescent="0.25">
      <c r="B14" s="110"/>
      <c r="C14" s="217" t="s">
        <v>219</v>
      </c>
      <c r="D14" s="218"/>
      <c r="E14" s="219" t="s">
        <v>221</v>
      </c>
      <c r="F14" s="220"/>
      <c r="G14" s="113"/>
      <c r="H14" s="114"/>
    </row>
    <row r="15" spans="2:8" ht="26.1" customHeight="1" x14ac:dyDescent="0.25">
      <c r="B15" s="110"/>
      <c r="C15" s="217" t="s">
        <v>164</v>
      </c>
      <c r="D15" s="218"/>
      <c r="E15" s="219" t="s">
        <v>222</v>
      </c>
      <c r="F15" s="220"/>
      <c r="G15" s="113"/>
      <c r="H15" s="114"/>
    </row>
    <row r="16" spans="2:8" ht="25.35" customHeight="1" x14ac:dyDescent="0.25">
      <c r="B16" s="110"/>
      <c r="C16" s="217" t="s">
        <v>165</v>
      </c>
      <c r="D16" s="218"/>
      <c r="E16" s="219" t="s">
        <v>223</v>
      </c>
      <c r="F16" s="220"/>
      <c r="G16" s="113"/>
      <c r="H16" s="114"/>
    </row>
    <row r="17" spans="2:8" ht="21" customHeight="1" x14ac:dyDescent="0.25">
      <c r="B17" s="110"/>
      <c r="C17" s="217" t="s">
        <v>150</v>
      </c>
      <c r="D17" s="218"/>
      <c r="E17" s="219" t="s">
        <v>224</v>
      </c>
      <c r="F17" s="220"/>
      <c r="G17" s="113"/>
      <c r="H17" s="114"/>
    </row>
    <row r="18" spans="2:8" ht="83.45" customHeight="1" x14ac:dyDescent="0.25">
      <c r="B18" s="110"/>
      <c r="C18" s="186" t="s">
        <v>184</v>
      </c>
      <c r="D18" s="187"/>
      <c r="E18" s="184" t="s">
        <v>225</v>
      </c>
      <c r="F18" s="185"/>
      <c r="G18" s="113"/>
      <c r="H18" s="114"/>
    </row>
    <row r="19" spans="2:8" ht="34.5" customHeight="1" x14ac:dyDescent="0.25">
      <c r="B19" s="110"/>
      <c r="C19" s="186" t="s">
        <v>2</v>
      </c>
      <c r="D19" s="187"/>
      <c r="E19" s="184" t="s">
        <v>226</v>
      </c>
      <c r="F19" s="185"/>
      <c r="G19" s="113"/>
      <c r="H19" s="114"/>
    </row>
    <row r="20" spans="2:8" ht="87" customHeight="1" x14ac:dyDescent="0.25">
      <c r="B20" s="110"/>
      <c r="C20" s="182" t="s">
        <v>181</v>
      </c>
      <c r="D20" s="183"/>
      <c r="E20" s="184" t="s">
        <v>227</v>
      </c>
      <c r="F20" s="185"/>
      <c r="G20" s="113"/>
      <c r="H20" s="114"/>
    </row>
    <row r="21" spans="2:8" ht="103.35" customHeight="1" x14ac:dyDescent="0.25">
      <c r="B21" s="110"/>
      <c r="C21" s="182" t="s">
        <v>182</v>
      </c>
      <c r="D21" s="183"/>
      <c r="E21" s="184" t="s">
        <v>228</v>
      </c>
      <c r="F21" s="185"/>
      <c r="G21" s="113"/>
      <c r="H21" s="114"/>
    </row>
    <row r="22" spans="2:8" ht="72.75" customHeight="1" x14ac:dyDescent="0.25">
      <c r="B22" s="110"/>
      <c r="C22" s="182" t="s">
        <v>192</v>
      </c>
      <c r="D22" s="183"/>
      <c r="E22" s="184" t="s">
        <v>229</v>
      </c>
      <c r="F22" s="185"/>
      <c r="G22" s="113"/>
      <c r="H22" s="114"/>
    </row>
    <row r="23" spans="2:8" ht="72.75" customHeight="1" x14ac:dyDescent="0.25">
      <c r="B23" s="110"/>
      <c r="C23" s="182" t="s">
        <v>1</v>
      </c>
      <c r="D23" s="183"/>
      <c r="E23" s="184" t="s">
        <v>230</v>
      </c>
      <c r="F23" s="185"/>
      <c r="G23" s="113"/>
      <c r="H23" s="114"/>
    </row>
    <row r="24" spans="2:8" ht="102.6" customHeight="1" x14ac:dyDescent="0.25">
      <c r="B24" s="110"/>
      <c r="C24" s="182" t="s">
        <v>48</v>
      </c>
      <c r="D24" s="183"/>
      <c r="E24" s="184" t="s">
        <v>231</v>
      </c>
      <c r="F24" s="185"/>
      <c r="G24" s="113"/>
      <c r="H24" s="114"/>
    </row>
    <row r="25" spans="2:8" ht="106.35" customHeight="1" x14ac:dyDescent="0.25">
      <c r="B25" s="110"/>
      <c r="C25" s="182" t="s">
        <v>152</v>
      </c>
      <c r="D25" s="183"/>
      <c r="E25" s="184" t="s">
        <v>232</v>
      </c>
      <c r="F25" s="185"/>
      <c r="G25" s="113"/>
      <c r="H25" s="114"/>
    </row>
    <row r="26" spans="2:8" ht="87" customHeight="1" x14ac:dyDescent="0.25">
      <c r="B26" s="110"/>
      <c r="C26" s="186" t="s">
        <v>153</v>
      </c>
      <c r="D26" s="187"/>
      <c r="E26" s="184" t="s">
        <v>233</v>
      </c>
      <c r="F26" s="185"/>
      <c r="G26" s="113"/>
      <c r="H26" s="114"/>
    </row>
    <row r="27" spans="2:8" ht="42" customHeight="1" x14ac:dyDescent="0.25">
      <c r="B27" s="110"/>
      <c r="C27" s="186" t="s">
        <v>46</v>
      </c>
      <c r="D27" s="187"/>
      <c r="E27" s="184" t="s">
        <v>154</v>
      </c>
      <c r="F27" s="185"/>
      <c r="G27" s="113"/>
      <c r="H27" s="114"/>
    </row>
    <row r="28" spans="2:8" ht="30.6" customHeight="1" x14ac:dyDescent="0.25">
      <c r="B28" s="110"/>
      <c r="C28" s="186" t="s">
        <v>10</v>
      </c>
      <c r="D28" s="187"/>
      <c r="E28" s="184" t="s">
        <v>234</v>
      </c>
      <c r="F28" s="185"/>
      <c r="G28" s="113"/>
      <c r="H28" s="114"/>
    </row>
    <row r="29" spans="2:8" ht="59.25" customHeight="1" x14ac:dyDescent="0.25">
      <c r="B29" s="110"/>
      <c r="C29" s="186" t="s">
        <v>146</v>
      </c>
      <c r="D29" s="187"/>
      <c r="E29" s="184" t="s">
        <v>155</v>
      </c>
      <c r="F29" s="185"/>
      <c r="G29" s="113"/>
      <c r="H29" s="114"/>
    </row>
    <row r="30" spans="2:8" ht="27.6" customHeight="1" x14ac:dyDescent="0.25">
      <c r="B30" s="110"/>
      <c r="C30" s="186" t="s">
        <v>11</v>
      </c>
      <c r="D30" s="187"/>
      <c r="E30" s="184" t="s">
        <v>235</v>
      </c>
      <c r="F30" s="185"/>
      <c r="G30" s="113"/>
      <c r="H30" s="114"/>
    </row>
    <row r="31" spans="2:8" ht="41.45" customHeight="1" x14ac:dyDescent="0.25">
      <c r="B31" s="110"/>
      <c r="C31" s="186" t="s">
        <v>156</v>
      </c>
      <c r="D31" s="187"/>
      <c r="E31" s="184" t="s">
        <v>236</v>
      </c>
      <c r="F31" s="185"/>
      <c r="G31" s="113"/>
      <c r="H31" s="114"/>
    </row>
    <row r="32" spans="2:8" ht="35.25" customHeight="1" x14ac:dyDescent="0.25">
      <c r="B32" s="110"/>
      <c r="C32" s="186" t="s">
        <v>157</v>
      </c>
      <c r="D32" s="187"/>
      <c r="E32" s="184" t="s">
        <v>237</v>
      </c>
      <c r="F32" s="185"/>
      <c r="G32" s="113"/>
      <c r="H32" s="114"/>
    </row>
    <row r="33" spans="2:8" ht="30" customHeight="1" x14ac:dyDescent="0.25">
      <c r="B33" s="110"/>
      <c r="C33" s="186" t="s">
        <v>158</v>
      </c>
      <c r="D33" s="187"/>
      <c r="E33" s="184" t="s">
        <v>238</v>
      </c>
      <c r="F33" s="185"/>
      <c r="G33" s="113"/>
      <c r="H33" s="114"/>
    </row>
    <row r="34" spans="2:8" ht="35.25" customHeight="1" x14ac:dyDescent="0.25">
      <c r="B34" s="110"/>
      <c r="C34" s="186" t="s">
        <v>159</v>
      </c>
      <c r="D34" s="187"/>
      <c r="E34" s="184" t="s">
        <v>239</v>
      </c>
      <c r="F34" s="185"/>
      <c r="G34" s="113"/>
      <c r="H34" s="114"/>
    </row>
    <row r="35" spans="2:8" ht="31.5" customHeight="1" x14ac:dyDescent="0.25">
      <c r="B35" s="110"/>
      <c r="C35" s="186" t="s">
        <v>160</v>
      </c>
      <c r="D35" s="187"/>
      <c r="E35" s="184" t="s">
        <v>240</v>
      </c>
      <c r="F35" s="185"/>
      <c r="G35" s="113"/>
      <c r="H35" s="114"/>
    </row>
    <row r="36" spans="2:8" ht="35.25" customHeight="1" x14ac:dyDescent="0.25">
      <c r="B36" s="110"/>
      <c r="C36" s="186" t="s">
        <v>161</v>
      </c>
      <c r="D36" s="187"/>
      <c r="E36" s="184" t="s">
        <v>241</v>
      </c>
      <c r="F36" s="185"/>
      <c r="G36" s="113"/>
      <c r="H36" s="114"/>
    </row>
    <row r="37" spans="2:8" ht="101.45" customHeight="1" x14ac:dyDescent="0.25">
      <c r="B37" s="110"/>
      <c r="C37" s="186" t="s">
        <v>242</v>
      </c>
      <c r="D37" s="187"/>
      <c r="E37" s="184" t="s">
        <v>243</v>
      </c>
      <c r="F37" s="185"/>
      <c r="G37" s="113"/>
      <c r="H37" s="114"/>
    </row>
    <row r="38" spans="2:8" ht="29.25" customHeight="1" x14ac:dyDescent="0.25">
      <c r="B38" s="110"/>
      <c r="C38" s="186" t="s">
        <v>28</v>
      </c>
      <c r="D38" s="187"/>
      <c r="E38" s="184" t="s">
        <v>244</v>
      </c>
      <c r="F38" s="185"/>
      <c r="G38" s="113"/>
      <c r="H38" s="114"/>
    </row>
    <row r="39" spans="2:8" ht="82.5" customHeight="1" x14ac:dyDescent="0.25">
      <c r="B39" s="110"/>
      <c r="C39" s="186" t="s">
        <v>162</v>
      </c>
      <c r="D39" s="187"/>
      <c r="E39" s="184" t="s">
        <v>245</v>
      </c>
      <c r="F39" s="185"/>
      <c r="G39" s="113"/>
      <c r="H39" s="114"/>
    </row>
    <row r="40" spans="2:8" ht="46.5" customHeight="1" x14ac:dyDescent="0.25">
      <c r="B40" s="110"/>
      <c r="C40" s="186" t="s">
        <v>38</v>
      </c>
      <c r="D40" s="187"/>
      <c r="E40" s="184" t="s">
        <v>246</v>
      </c>
      <c r="F40" s="185"/>
      <c r="G40" s="113"/>
      <c r="H40" s="114"/>
    </row>
    <row r="41" spans="2:8" ht="6.75" customHeight="1" thickBot="1" x14ac:dyDescent="0.3">
      <c r="B41" s="110"/>
      <c r="C41" s="191"/>
      <c r="D41" s="192"/>
      <c r="E41" s="193"/>
      <c r="F41" s="194"/>
      <c r="G41" s="113"/>
      <c r="H41" s="114"/>
    </row>
    <row r="42" spans="2:8" ht="15.75" thickTop="1" x14ac:dyDescent="0.25">
      <c r="B42" s="110"/>
      <c r="C42" s="111"/>
      <c r="D42" s="111"/>
      <c r="E42" s="112"/>
      <c r="F42" s="112"/>
      <c r="G42" s="113"/>
      <c r="H42" s="114"/>
    </row>
    <row r="43" spans="2:8" ht="21" customHeight="1" x14ac:dyDescent="0.25">
      <c r="B43" s="188" t="s">
        <v>168</v>
      </c>
      <c r="C43" s="189"/>
      <c r="D43" s="189"/>
      <c r="E43" s="189"/>
      <c r="F43" s="189"/>
      <c r="G43" s="189"/>
      <c r="H43" s="190"/>
    </row>
    <row r="44" spans="2:8" ht="20.25" customHeight="1" x14ac:dyDescent="0.25">
      <c r="B44" s="188" t="s">
        <v>169</v>
      </c>
      <c r="C44" s="189"/>
      <c r="D44" s="189"/>
      <c r="E44" s="189"/>
      <c r="F44" s="189"/>
      <c r="G44" s="189"/>
      <c r="H44" s="190"/>
    </row>
    <row r="45" spans="2:8" ht="20.25" customHeight="1" x14ac:dyDescent="0.25">
      <c r="B45" s="188" t="s">
        <v>170</v>
      </c>
      <c r="C45" s="189"/>
      <c r="D45" s="189"/>
      <c r="E45" s="189"/>
      <c r="F45" s="189"/>
      <c r="G45" s="189"/>
      <c r="H45" s="190"/>
    </row>
    <row r="46" spans="2:8" ht="20.25" customHeight="1" x14ac:dyDescent="0.25">
      <c r="B46" s="188" t="s">
        <v>171</v>
      </c>
      <c r="C46" s="189"/>
      <c r="D46" s="189"/>
      <c r="E46" s="189"/>
      <c r="F46" s="189"/>
      <c r="G46" s="189"/>
      <c r="H46" s="190"/>
    </row>
    <row r="47" spans="2:8" x14ac:dyDescent="0.25">
      <c r="B47" s="188" t="s">
        <v>172</v>
      </c>
      <c r="C47" s="189"/>
      <c r="D47" s="189"/>
      <c r="E47" s="189"/>
      <c r="F47" s="189"/>
      <c r="G47" s="189"/>
      <c r="H47" s="190"/>
    </row>
    <row r="48" spans="2:8" ht="15.75" thickBot="1" x14ac:dyDescent="0.3">
      <c r="B48" s="115"/>
      <c r="C48" s="116"/>
      <c r="D48" s="116"/>
      <c r="E48" s="116"/>
      <c r="F48" s="116"/>
      <c r="G48" s="116"/>
      <c r="H48" s="117"/>
    </row>
  </sheetData>
  <mergeCells count="70">
    <mergeCell ref="C19:D19"/>
    <mergeCell ref="E19:F19"/>
    <mergeCell ref="C17:D17"/>
    <mergeCell ref="E17:F17"/>
    <mergeCell ref="C15:D15"/>
    <mergeCell ref="E15:F15"/>
    <mergeCell ref="C16:D16"/>
    <mergeCell ref="E16:F16"/>
    <mergeCell ref="E31:F31"/>
    <mergeCell ref="B2:H2"/>
    <mergeCell ref="B4:H5"/>
    <mergeCell ref="B6:H6"/>
    <mergeCell ref="B9:H10"/>
    <mergeCell ref="C12:D12"/>
    <mergeCell ref="E12:F12"/>
    <mergeCell ref="B7:H7"/>
    <mergeCell ref="C13:D13"/>
    <mergeCell ref="E13:F13"/>
    <mergeCell ref="C18:D18"/>
    <mergeCell ref="E18:F18"/>
    <mergeCell ref="C22:D22"/>
    <mergeCell ref="E22:F22"/>
    <mergeCell ref="C14:D14"/>
    <mergeCell ref="E14:F14"/>
    <mergeCell ref="E39:F39"/>
    <mergeCell ref="B45:H45"/>
    <mergeCell ref="B46:H46"/>
    <mergeCell ref="B47:H47"/>
    <mergeCell ref="E26:F26"/>
    <mergeCell ref="C26:D26"/>
    <mergeCell ref="C27:D27"/>
    <mergeCell ref="E27:F27"/>
    <mergeCell ref="C30:D30"/>
    <mergeCell ref="E30:F30"/>
    <mergeCell ref="E37:F37"/>
    <mergeCell ref="C35:D35"/>
    <mergeCell ref="C34:D34"/>
    <mergeCell ref="E34:F34"/>
    <mergeCell ref="E35:F35"/>
    <mergeCell ref="C31:D31"/>
    <mergeCell ref="E32:F32"/>
    <mergeCell ref="C32:D32"/>
    <mergeCell ref="B44:H44"/>
    <mergeCell ref="C41:D41"/>
    <mergeCell ref="E41:F41"/>
    <mergeCell ref="C40:D40"/>
    <mergeCell ref="E40:F40"/>
    <mergeCell ref="C36:D36"/>
    <mergeCell ref="B43:H43"/>
    <mergeCell ref="C33:D33"/>
    <mergeCell ref="E33:F33"/>
    <mergeCell ref="E36:F36"/>
    <mergeCell ref="C37:D37"/>
    <mergeCell ref="C38:D38"/>
    <mergeCell ref="E38:F38"/>
    <mergeCell ref="C39:D39"/>
    <mergeCell ref="C24:D24"/>
    <mergeCell ref="C20:D20"/>
    <mergeCell ref="E25:F25"/>
    <mergeCell ref="C25:D25"/>
    <mergeCell ref="C29:D29"/>
    <mergeCell ref="E29:F29"/>
    <mergeCell ref="C28:D28"/>
    <mergeCell ref="E28:F28"/>
    <mergeCell ref="C21:D21"/>
    <mergeCell ref="C23:D23"/>
    <mergeCell ref="E20:F20"/>
    <mergeCell ref="E21:F21"/>
    <mergeCell ref="E23:F23"/>
    <mergeCell ref="E24:F2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13</v>
      </c>
    </row>
    <row r="4" spans="1:1" x14ac:dyDescent="0.2">
      <c r="A4" s="10" t="s">
        <v>14</v>
      </c>
    </row>
    <row r="5" spans="1:1" x14ac:dyDescent="0.2">
      <c r="A5" s="10" t="s">
        <v>15</v>
      </c>
    </row>
    <row r="6" spans="1:1" x14ac:dyDescent="0.2">
      <c r="A6" s="10" t="s">
        <v>9</v>
      </c>
    </row>
    <row r="7" spans="1:1" x14ac:dyDescent="0.2">
      <c r="A7" s="10" t="s">
        <v>8</v>
      </c>
    </row>
    <row r="8" spans="1:1" x14ac:dyDescent="0.2">
      <c r="A8" s="10" t="s">
        <v>18</v>
      </c>
    </row>
    <row r="9" spans="1:1" x14ac:dyDescent="0.2">
      <c r="A9" s="10" t="s">
        <v>19</v>
      </c>
    </row>
    <row r="10" spans="1:1" x14ac:dyDescent="0.2">
      <c r="A10" s="10" t="s">
        <v>21</v>
      </c>
    </row>
    <row r="11" spans="1:1" x14ac:dyDescent="0.2">
      <c r="A11" s="10" t="s">
        <v>22</v>
      </c>
    </row>
    <row r="12" spans="1:1" x14ac:dyDescent="0.2">
      <c r="A12" s="10" t="s">
        <v>24</v>
      </c>
    </row>
    <row r="13" spans="1:1" x14ac:dyDescent="0.2">
      <c r="A13" s="10" t="s">
        <v>25</v>
      </c>
    </row>
    <row r="14" spans="1:1" x14ac:dyDescent="0.2">
      <c r="A14" s="10" t="s">
        <v>26</v>
      </c>
    </row>
    <row r="16" spans="1:1" x14ac:dyDescent="0.2">
      <c r="A16" s="10" t="s">
        <v>29</v>
      </c>
    </row>
    <row r="17" spans="1:1" x14ac:dyDescent="0.2">
      <c r="A17" s="10" t="s">
        <v>30</v>
      </c>
    </row>
    <row r="18" spans="1:1" x14ac:dyDescent="0.2">
      <c r="A18" s="10" t="s">
        <v>31</v>
      </c>
    </row>
    <row r="20" spans="1:1" x14ac:dyDescent="0.2">
      <c r="A20" s="10" t="s">
        <v>39</v>
      </c>
    </row>
    <row r="21" spans="1:1" x14ac:dyDescent="0.2">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71"/>
  <sheetViews>
    <sheetView tabSelected="1" topLeftCell="A7" zoomScale="110" zoomScaleNormal="110" workbookViewId="0">
      <selection activeCell="C11" sqref="C11"/>
    </sheetView>
  </sheetViews>
  <sheetFormatPr baseColWidth="10" defaultColWidth="11.42578125" defaultRowHeight="16.5" x14ac:dyDescent="0.3"/>
  <cols>
    <col min="1" max="1" width="4" style="2" bestFit="1" customWidth="1"/>
    <col min="2" max="2" width="27.28515625" style="2" customWidth="1"/>
    <col min="3" max="4" width="36.140625" style="2" customWidth="1"/>
    <col min="5" max="5" width="32.42578125" style="1" customWidth="1"/>
    <col min="6" max="7" width="36.140625" style="2" customWidth="1"/>
    <col min="8" max="8" width="19" style="5" customWidth="1"/>
    <col min="9" max="9" width="17.85546875" style="1" customWidth="1"/>
    <col min="10" max="10" width="16.42578125" style="1" customWidth="1"/>
    <col min="11" max="11" width="6.28515625" style="1" bestFit="1" customWidth="1"/>
    <col min="12" max="12" width="27.28515625" style="1" bestFit="1" customWidth="1"/>
    <col min="13" max="13" width="30.42578125" style="1" hidden="1" customWidth="1"/>
    <col min="14" max="14" width="17.42578125" style="1" customWidth="1"/>
    <col min="15" max="15" width="6.28515625" style="1" bestFit="1" customWidth="1"/>
    <col min="16" max="16" width="16" style="1" customWidth="1"/>
    <col min="17" max="17" width="5.85546875" style="1" customWidth="1"/>
    <col min="18" max="18" width="31" style="1" customWidth="1"/>
    <col min="19" max="19" width="15.140625" style="1" bestFit="1" customWidth="1"/>
    <col min="20" max="20" width="6.85546875" style="1" customWidth="1"/>
    <col min="21" max="21" width="5" style="1" customWidth="1"/>
    <col min="22" max="22" width="5.42578125" style="1" customWidth="1"/>
    <col min="23" max="23" width="7.140625" style="1" customWidth="1"/>
    <col min="24" max="24" width="6.7109375" style="1" customWidth="1"/>
    <col min="25" max="25" width="7.42578125" style="1" customWidth="1"/>
    <col min="26" max="26" width="38.28515625" style="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4.85546875" style="1" customWidth="1"/>
    <col min="37" max="37" width="18.42578125" style="1" customWidth="1"/>
    <col min="38" max="38" width="21" style="1" customWidth="1"/>
    <col min="39" max="16384" width="11.42578125" style="1"/>
  </cols>
  <sheetData>
    <row r="1" spans="1:70" ht="16.5" customHeight="1" x14ac:dyDescent="0.3">
      <c r="A1" s="240" t="s">
        <v>127</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2"/>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9" customHeight="1" x14ac:dyDescent="0.3">
      <c r="A2" s="243"/>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c r="AL2" s="245"/>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8"/>
      <c r="F3" s="28"/>
      <c r="G3" s="2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9.5" customHeight="1" x14ac:dyDescent="0.3">
      <c r="A4" s="250" t="s">
        <v>41</v>
      </c>
      <c r="B4" s="251"/>
      <c r="C4" s="275" t="s">
        <v>270</v>
      </c>
      <c r="D4" s="276"/>
      <c r="E4" s="276"/>
      <c r="F4" s="276"/>
      <c r="G4" s="276"/>
      <c r="H4" s="276"/>
      <c r="I4" s="276"/>
      <c r="J4" s="276"/>
      <c r="K4" s="276"/>
      <c r="L4" s="276"/>
      <c r="M4" s="276"/>
      <c r="N4" s="276"/>
      <c r="O4" s="276"/>
      <c r="P4" s="277"/>
      <c r="Q4" s="239"/>
      <c r="R4" s="239"/>
      <c r="S4" s="239"/>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24" customHeight="1" x14ac:dyDescent="0.3">
      <c r="A5" s="250" t="s">
        <v>174</v>
      </c>
      <c r="B5" s="251"/>
      <c r="C5" s="258" t="s">
        <v>247</v>
      </c>
      <c r="D5" s="259"/>
      <c r="E5" s="259"/>
      <c r="F5" s="259"/>
      <c r="G5" s="259"/>
      <c r="H5" s="259"/>
      <c r="I5" s="259"/>
      <c r="J5" s="259"/>
      <c r="K5" s="259"/>
      <c r="L5" s="259"/>
      <c r="M5" s="259"/>
      <c r="N5" s="259"/>
      <c r="O5" s="259"/>
      <c r="P5" s="260"/>
      <c r="Q5" s="239"/>
      <c r="R5" s="239"/>
      <c r="S5" s="239"/>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23.25" customHeight="1" x14ac:dyDescent="0.3">
      <c r="A6" s="250" t="s">
        <v>115</v>
      </c>
      <c r="B6" s="251"/>
      <c r="C6" s="258" t="s">
        <v>286</v>
      </c>
      <c r="D6" s="259"/>
      <c r="E6" s="259"/>
      <c r="F6" s="259"/>
      <c r="G6" s="259"/>
      <c r="H6" s="259"/>
      <c r="I6" s="259"/>
      <c r="J6" s="259"/>
      <c r="K6" s="259"/>
      <c r="L6" s="259"/>
      <c r="M6" s="259"/>
      <c r="N6" s="259"/>
      <c r="O6" s="259"/>
      <c r="P6" s="260"/>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ht="20.25" customHeight="1" x14ac:dyDescent="0.3">
      <c r="A7" s="250" t="s">
        <v>42</v>
      </c>
      <c r="B7" s="251"/>
      <c r="C7" s="261"/>
      <c r="D7" s="262"/>
      <c r="E7" s="262"/>
      <c r="F7" s="262"/>
      <c r="G7" s="262"/>
      <c r="H7" s="262"/>
      <c r="I7" s="262"/>
      <c r="J7" s="262"/>
      <c r="K7" s="262"/>
      <c r="L7" s="262"/>
      <c r="M7" s="262"/>
      <c r="N7" s="262"/>
      <c r="O7" s="262"/>
      <c r="P7" s="26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x14ac:dyDescent="0.3">
      <c r="A8" s="246" t="s">
        <v>123</v>
      </c>
      <c r="B8" s="247"/>
      <c r="C8" s="247"/>
      <c r="D8" s="247"/>
      <c r="E8" s="247"/>
      <c r="F8" s="247"/>
      <c r="G8" s="247"/>
      <c r="H8" s="247"/>
      <c r="I8" s="248"/>
      <c r="J8" s="246" t="s">
        <v>124</v>
      </c>
      <c r="K8" s="247"/>
      <c r="L8" s="247"/>
      <c r="M8" s="247"/>
      <c r="N8" s="247"/>
      <c r="O8" s="247"/>
      <c r="P8" s="248"/>
      <c r="Q8" s="246" t="s">
        <v>125</v>
      </c>
      <c r="R8" s="247"/>
      <c r="S8" s="247"/>
      <c r="T8" s="247"/>
      <c r="U8" s="247"/>
      <c r="V8" s="247"/>
      <c r="W8" s="247"/>
      <c r="X8" s="247"/>
      <c r="Y8" s="248"/>
      <c r="Z8" s="246" t="s">
        <v>126</v>
      </c>
      <c r="AA8" s="247"/>
      <c r="AB8" s="247"/>
      <c r="AC8" s="247"/>
      <c r="AD8" s="247"/>
      <c r="AE8" s="247"/>
      <c r="AF8" s="248"/>
      <c r="AG8" s="246" t="s">
        <v>33</v>
      </c>
      <c r="AH8" s="247"/>
      <c r="AI8" s="247"/>
      <c r="AJ8" s="247"/>
      <c r="AK8" s="247"/>
      <c r="AL8" s="24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ht="16.5" customHeight="1" x14ac:dyDescent="0.3">
      <c r="A9" s="252" t="s">
        <v>0</v>
      </c>
      <c r="B9" s="255" t="s">
        <v>183</v>
      </c>
      <c r="C9" s="272" t="s">
        <v>2</v>
      </c>
      <c r="D9" s="254" t="s">
        <v>181</v>
      </c>
      <c r="E9" s="255" t="s">
        <v>182</v>
      </c>
      <c r="F9" s="271" t="s">
        <v>192</v>
      </c>
      <c r="G9" s="255" t="s">
        <v>292</v>
      </c>
      <c r="H9" s="254" t="s">
        <v>48</v>
      </c>
      <c r="I9" s="255" t="s">
        <v>119</v>
      </c>
      <c r="J9" s="278" t="s">
        <v>32</v>
      </c>
      <c r="K9" s="279" t="s">
        <v>4</v>
      </c>
      <c r="L9" s="254" t="s">
        <v>84</v>
      </c>
      <c r="M9" s="254" t="s">
        <v>89</v>
      </c>
      <c r="N9" s="281" t="s">
        <v>43</v>
      </c>
      <c r="O9" s="279" t="s">
        <v>4</v>
      </c>
      <c r="P9" s="255" t="s">
        <v>46</v>
      </c>
      <c r="Q9" s="256" t="s">
        <v>10</v>
      </c>
      <c r="R9" s="249" t="s">
        <v>146</v>
      </c>
      <c r="S9" s="254" t="s">
        <v>11</v>
      </c>
      <c r="T9" s="249" t="s">
        <v>7</v>
      </c>
      <c r="U9" s="249"/>
      <c r="V9" s="249"/>
      <c r="W9" s="249"/>
      <c r="X9" s="249"/>
      <c r="Y9" s="249"/>
      <c r="Z9" s="264" t="s">
        <v>122</v>
      </c>
      <c r="AA9" s="264" t="s">
        <v>44</v>
      </c>
      <c r="AB9" s="264" t="s">
        <v>4</v>
      </c>
      <c r="AC9" s="264" t="s">
        <v>45</v>
      </c>
      <c r="AD9" s="264" t="s">
        <v>4</v>
      </c>
      <c r="AE9" s="264" t="s">
        <v>47</v>
      </c>
      <c r="AF9" s="256" t="s">
        <v>28</v>
      </c>
      <c r="AG9" s="249" t="s">
        <v>33</v>
      </c>
      <c r="AH9" s="249" t="s">
        <v>34</v>
      </c>
      <c r="AI9" s="249" t="s">
        <v>35</v>
      </c>
      <c r="AJ9" s="249" t="s">
        <v>37</v>
      </c>
      <c r="AK9" s="249" t="s">
        <v>36</v>
      </c>
      <c r="AL9" s="249" t="s">
        <v>38</v>
      </c>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row>
    <row r="10" spans="1:70" s="4" customFormat="1" ht="19.5" customHeight="1" x14ac:dyDescent="0.25">
      <c r="A10" s="253"/>
      <c r="B10" s="249"/>
      <c r="C10" s="272"/>
      <c r="D10" s="255"/>
      <c r="E10" s="249"/>
      <c r="F10" s="272"/>
      <c r="G10" s="249"/>
      <c r="H10" s="255"/>
      <c r="I10" s="249"/>
      <c r="J10" s="255"/>
      <c r="K10" s="280"/>
      <c r="L10" s="255"/>
      <c r="M10" s="255"/>
      <c r="N10" s="280"/>
      <c r="O10" s="280"/>
      <c r="P10" s="249"/>
      <c r="Q10" s="257"/>
      <c r="R10" s="249"/>
      <c r="S10" s="255"/>
      <c r="T10" s="7" t="s">
        <v>12</v>
      </c>
      <c r="U10" s="7" t="s">
        <v>16</v>
      </c>
      <c r="V10" s="7" t="s">
        <v>27</v>
      </c>
      <c r="W10" s="7" t="s">
        <v>17</v>
      </c>
      <c r="X10" s="7" t="s">
        <v>20</v>
      </c>
      <c r="Y10" s="7" t="s">
        <v>23</v>
      </c>
      <c r="Z10" s="264"/>
      <c r="AA10" s="264"/>
      <c r="AB10" s="264"/>
      <c r="AC10" s="264"/>
      <c r="AD10" s="264"/>
      <c r="AE10" s="264"/>
      <c r="AF10" s="257"/>
      <c r="AG10" s="249"/>
      <c r="AH10" s="249"/>
      <c r="AI10" s="249"/>
      <c r="AJ10" s="249"/>
      <c r="AK10" s="249"/>
      <c r="AL10" s="249"/>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row>
    <row r="11" spans="1:70" s="3" customFormat="1" ht="101.25" customHeight="1" x14ac:dyDescent="0.25">
      <c r="A11" s="168">
        <v>1</v>
      </c>
      <c r="B11" s="161" t="s">
        <v>185</v>
      </c>
      <c r="C11" s="161" t="s">
        <v>116</v>
      </c>
      <c r="D11" s="161" t="s">
        <v>287</v>
      </c>
      <c r="E11" s="161" t="s">
        <v>288</v>
      </c>
      <c r="F11" s="181" t="s">
        <v>194</v>
      </c>
      <c r="G11" s="166" t="s">
        <v>291</v>
      </c>
      <c r="H11" s="161" t="s">
        <v>217</v>
      </c>
      <c r="I11" s="178">
        <v>52</v>
      </c>
      <c r="J11" s="179" t="str">
        <f>IF(I11&lt;=0,"",IF(I11&lt;=5,"Muy Baja",IF(I11&lt;=24,"Baja",IF(I11&lt;=150,"Media",IF(I11&lt;=300,"Alta","Muy Alta")))))</f>
        <v>Media</v>
      </c>
      <c r="K11" s="180">
        <f>IF(J11="","",IF(J11="Muy Baja",0.2,IF(J11="Baja",0.4,IF(J11="Media",0.6,IF(J11="Alta",0.8,IF(J11="Muy Alta",1,))))))</f>
        <v>0.6</v>
      </c>
      <c r="L11" s="177" t="s">
        <v>138</v>
      </c>
      <c r="M11" s="233" t="str">
        <f ca="1">IF(NOT(ISERROR(MATCH(L11,'Tabla Impacto'!$B$221:$B$223,0))),'Tabla Impacto'!$F$223&amp;"Por favor no seleccionar los criterios de impacto(Afectación Económica o presupuestal y Pérdida Reputacional)",L11)</f>
        <v xml:space="preserve">     El riesgo afecta la imagen de la entidad con algunos usuarios de relevancia frente al logro de los objetivos</v>
      </c>
      <c r="N11" s="230" t="str">
        <f ca="1">IF(OR(M11='Tabla Impacto'!$C$11,M11='Tabla Impacto'!$D$11),"Leve",IF(OR(M11='Tabla Impacto'!$C$12,M11='Tabla Impacto'!$D$12),"Menor",IF(OR(M11='Tabla Impacto'!$C$13,M11='Tabla Impacto'!$D$13),"Moderado",IF(OR(M11='Tabla Impacto'!$C$14,M11='Tabla Impacto'!$D$14),"Mayor",IF(OR(M11='Tabla Impacto'!$C$15,M11='Tabla Impacto'!$D$15),"Catastrófico","")))))</f>
        <v>Moderado</v>
      </c>
      <c r="O11" s="233">
        <f ca="1">IF(N11="","",IF(N11="Leve",0.2,IF(N11="Menor",0.4,IF(N11="Moderado",0.6,IF(N11="Mayor",0.8,IF(N11="Catastrófico",1,))))))</f>
        <v>0.6</v>
      </c>
      <c r="P11" s="221" t="str">
        <f ca="1">IF(OR(AND(J11="Muy Baja",N11="Leve"),AND(J11="Muy Baja",N11="Menor"),AND(J11="Baja",N11="Leve")),"Bajo",IF(OR(AND(J11="Muy baja",N11="Moderado"),AND(J11="Baja",N11="Menor"),AND(J11="Baja",N11="Moderado"),AND(J11="Media",N11="Leve"),AND(J11="Media",N11="Menor"),AND(J11="Media",N11="Moderado"),AND(J11="Alta",N11="Leve"),AND(J11="Alta",N11="Menor")),"Moderado",IF(OR(AND(J11="Muy Baja",N11="Mayor"),AND(J11="Baja",N11="Mayor"),AND(J11="Media",N11="Mayor"),AND(J11="Alta",N11="Moderado"),AND(J11="Alta",N11="Mayor"),AND(J11="Muy Alta",N11="Leve"),AND(J11="Muy Alta",N11="Menor"),AND(J11="Muy Alta",N11="Moderado"),AND(J11="Muy Alta",N11="Mayor")),"Alto",IF(OR(AND(J11="Muy Baja",N11="Catastrófico"),AND(J11="Baja",N11="Catastrófico"),AND(J11="Media",N11="Catastrófico"),AND(J11="Alta",N11="Catastrófico"),AND(J11="Muy Alta",N11="Catastrófico")),"Extremo",""))))</f>
        <v>Moderado</v>
      </c>
      <c r="Q11" s="125">
        <v>1</v>
      </c>
      <c r="R11" s="126" t="s">
        <v>294</v>
      </c>
      <c r="S11" s="127" t="str">
        <f>IF(OR(T11="Preventivo",T11="Detectivo"),"Probabilidad",IF(T11="Correctivo","Impacto",""))</f>
        <v>Probabilidad</v>
      </c>
      <c r="T11" s="128" t="s">
        <v>13</v>
      </c>
      <c r="U11" s="128" t="s">
        <v>8</v>
      </c>
      <c r="V11" s="129" t="str">
        <f>IF(AND(T11="Preventivo",U11="Automático"),"50%",IF(AND(T11="Preventivo",U11="Manual"),"40%",IF(AND(T11="Detectivo",U11="Automático"),"40%",IF(AND(T11="Detectivo",U11="Manual"),"30%",IF(AND(T11="Correctivo",U11="Automático"),"35%",IF(AND(T11="Correctivo",U11="Manual"),"25%",""))))))</f>
        <v>40%</v>
      </c>
      <c r="W11" s="128" t="s">
        <v>19</v>
      </c>
      <c r="X11" s="128" t="s">
        <v>21</v>
      </c>
      <c r="Y11" s="128" t="s">
        <v>111</v>
      </c>
      <c r="Z11" s="130">
        <f>IFERROR(IF(S11="Probabilidad",(K11-(+K11*V11)),IF(S11="Impacto",K11,"")),"")</f>
        <v>0.36</v>
      </c>
      <c r="AA11" s="131" t="str">
        <f>IFERROR(IF(Z11="","",IF(Z11&lt;=0.2,"Muy Baja",IF(Z11&lt;=0.4,"Baja",IF(Z11&lt;=0.6,"Media",IF(Z11&lt;=0.8,"Alta","Muy Alta"))))),"")</f>
        <v>Baja</v>
      </c>
      <c r="AB11" s="132">
        <f>+Z11</f>
        <v>0.36</v>
      </c>
      <c r="AC11" s="131" t="str">
        <f ca="1">IFERROR(IF(AD11="","",IF(AD11&lt;=0.2,"Leve",IF(AD11&lt;=0.4,"Menor",IF(AD11&lt;=0.6,"Moderado",IF(AD11&lt;=0.8,"Mayor","Catastrófico"))))),"")</f>
        <v>Moderado</v>
      </c>
      <c r="AD11" s="132">
        <f ca="1">IFERROR(IF(S11="Impacto",(O11-(+O11*V11)),IF(S11="Probabilidad",O11,"")),"")</f>
        <v>0.6</v>
      </c>
      <c r="AE11" s="133" t="str">
        <f ca="1">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134" t="s">
        <v>30</v>
      </c>
      <c r="AG11" s="135"/>
      <c r="AH11" s="136"/>
      <c r="AI11" s="137"/>
      <c r="AJ11" s="137"/>
      <c r="AK11" s="135"/>
      <c r="AL11" s="13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row>
    <row r="12" spans="1:70" ht="122.25" customHeight="1" x14ac:dyDescent="0.3">
      <c r="A12" s="169"/>
      <c r="B12" s="161" t="s">
        <v>190</v>
      </c>
      <c r="C12" s="161" t="s">
        <v>116</v>
      </c>
      <c r="D12" s="161" t="s">
        <v>287</v>
      </c>
      <c r="E12" s="161" t="s">
        <v>289</v>
      </c>
      <c r="F12" s="181" t="s">
        <v>197</v>
      </c>
      <c r="G12" s="167" t="s">
        <v>290</v>
      </c>
      <c r="H12" s="161" t="s">
        <v>217</v>
      </c>
      <c r="I12" s="164">
        <v>12</v>
      </c>
      <c r="J12" s="179" t="str">
        <f>IF(I12&lt;=0,"",IF(I12&lt;=5,"Muy Baja",IF(I12&lt;=24,"Baja",IF(I12&lt;=150,"Media",IF(I12&lt;=300,"Alta","Muy Alta")))))</f>
        <v>Baja</v>
      </c>
      <c r="K12" s="173">
        <v>0.4</v>
      </c>
      <c r="L12" s="175" t="s">
        <v>138</v>
      </c>
      <c r="M12" s="234" t="str">
        <f ca="1">IF(NOT(ISERROR(MATCH(L12,_xlfn.ANCHORARRAY(G21),0))),K23&amp;"Por favor no seleccionar los criterios de impacto",L12)</f>
        <v xml:space="preserve">     El riesgo afecta la imagen de la entidad con algunos usuarios de relevancia frente al logro de los objetivos</v>
      </c>
      <c r="N12" s="231"/>
      <c r="O12" s="234"/>
      <c r="P12" s="222"/>
      <c r="Q12" s="125">
        <v>2</v>
      </c>
      <c r="R12" s="126" t="s">
        <v>293</v>
      </c>
      <c r="S12" s="127" t="str">
        <f>IF(OR(T12="Preventivo",T12="Detectivo"),"Probabilidad",IF(T12="Correctivo","Impacto",""))</f>
        <v>Probabilidad</v>
      </c>
      <c r="T12" s="128" t="s">
        <v>13</v>
      </c>
      <c r="U12" s="128" t="s">
        <v>8</v>
      </c>
      <c r="V12" s="129" t="str">
        <f t="shared" ref="V12:V14" si="0">IF(AND(T12="Preventivo",U12="Automático"),"50%",IF(AND(T12="Preventivo",U12="Manual"),"40%",IF(AND(T12="Detectivo",U12="Automático"),"40%",IF(AND(T12="Detectivo",U12="Manual"),"30%",IF(AND(T12="Correctivo",U12="Automático"),"35%",IF(AND(T12="Correctivo",U12="Manual"),"25%",""))))))</f>
        <v>40%</v>
      </c>
      <c r="W12" s="128" t="s">
        <v>19</v>
      </c>
      <c r="X12" s="128" t="s">
        <v>21</v>
      </c>
      <c r="Y12" s="128" t="s">
        <v>111</v>
      </c>
      <c r="Z12" s="130">
        <f>IFERROR(IF(AND(S11="Probabilidad",S12="Probabilidad"),(AB11-(+AB11*V12)),IF(S12="Probabilidad",(K11-(+K11*V12)),IF(S12="Impacto",AB11,""))),"")</f>
        <v>0.216</v>
      </c>
      <c r="AA12" s="131" t="str">
        <f t="shared" ref="AA12:AA68" si="1">IFERROR(IF(Z12="","",IF(Z12&lt;=0.2,"Muy Baja",IF(Z12&lt;=0.4,"Baja",IF(Z12&lt;=0.6,"Media",IF(Z12&lt;=0.8,"Alta","Muy Alta"))))),"")</f>
        <v>Baja</v>
      </c>
      <c r="AB12" s="132">
        <f t="shared" ref="AB12:AB14" si="2">+Z12</f>
        <v>0.216</v>
      </c>
      <c r="AC12" s="131" t="str">
        <f t="shared" ref="AC12:AC68" ca="1" si="3">IFERROR(IF(AD12="","",IF(AD12&lt;=0.2,"Leve",IF(AD12&lt;=0.4,"Menor",IF(AD12&lt;=0.6,"Moderado",IF(AD12&lt;=0.8,"Mayor","Catastrófico"))))),"")</f>
        <v>Moderado</v>
      </c>
      <c r="AD12" s="140">
        <f ca="1">IFERROR(IF(AND(S11="Impacto",S12="Impacto"),(AD11-(+AD11*V12)),IF(S12="Impacto",(O11-(+O11*V12)),IF(S12="Probabilidad",AD11,""))),"")</f>
        <v>0.6</v>
      </c>
      <c r="AE12" s="133" t="str">
        <f t="shared" ref="AE12:AE14" ca="1" si="4">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134" t="s">
        <v>30</v>
      </c>
      <c r="AG12" s="135"/>
      <c r="AH12" s="136"/>
      <c r="AI12" s="137"/>
      <c r="AJ12" s="137"/>
      <c r="AK12" s="135"/>
      <c r="AL12" s="136"/>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151.5" customHeight="1" x14ac:dyDescent="0.3">
      <c r="A13" s="169"/>
      <c r="B13" s="159"/>
      <c r="C13" s="159"/>
      <c r="D13" s="142"/>
      <c r="E13" s="159"/>
      <c r="F13" s="162"/>
      <c r="G13" s="162"/>
      <c r="H13" s="159"/>
      <c r="I13" s="164"/>
      <c r="J13" s="171"/>
      <c r="K13" s="173"/>
      <c r="L13" s="175"/>
      <c r="M13" s="234">
        <f ca="1">IF(NOT(ISERROR(MATCH(L13,_xlfn.ANCHORARRAY(G24),0))),K26&amp;"Por favor no seleccionar los criterios de impacto",L13)</f>
        <v>0</v>
      </c>
      <c r="N13" s="231"/>
      <c r="O13" s="234"/>
      <c r="P13" s="222"/>
      <c r="Q13" s="125">
        <v>5</v>
      </c>
      <c r="R13" s="126"/>
      <c r="S13" s="127" t="str">
        <f t="shared" ref="S13:S14" si="5">IF(OR(T13="Preventivo",T13="Detectivo"),"Probabilidad",IF(T13="Correctivo","Impacto",""))</f>
        <v/>
      </c>
      <c r="T13" s="128"/>
      <c r="U13" s="128"/>
      <c r="V13" s="129" t="str">
        <f t="shared" si="0"/>
        <v/>
      </c>
      <c r="W13" s="128"/>
      <c r="X13" s="128"/>
      <c r="Y13" s="128"/>
      <c r="Z13" s="130" t="str">
        <f>IFERROR(IF(AND(#REF!="Probabilidad",S13="Probabilidad"),(#REF!-(+#REF!*V13)),IF(AND(#REF!="Impacto",S13="Probabilidad"),(#REF!-(+#REF!*V13)),IF(S13="Impacto",#REF!,""))),"")</f>
        <v/>
      </c>
      <c r="AA13" s="131" t="str">
        <f t="shared" si="1"/>
        <v/>
      </c>
      <c r="AB13" s="132" t="str">
        <f t="shared" si="2"/>
        <v/>
      </c>
      <c r="AC13" s="131" t="str">
        <f t="shared" si="3"/>
        <v/>
      </c>
      <c r="AD13" s="140" t="str">
        <f>IFERROR(IF(AND(#REF!="Impacto",S13="Impacto"),(#REF!-(+#REF!*V13)),IF(AND(#REF!="Probabilidad",S13="Impacto"),(#REF!-(+#REF!*V13)),IF(S13="Probabilidad",#REF!,""))),"")</f>
        <v/>
      </c>
      <c r="AE13" s="133" t="str">
        <f t="shared" si="4"/>
        <v/>
      </c>
      <c r="AF13" s="134"/>
      <c r="AG13" s="135"/>
      <c r="AH13" s="136"/>
      <c r="AI13" s="137"/>
      <c r="AJ13" s="137"/>
      <c r="AK13" s="135"/>
      <c r="AL13" s="136"/>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151.5" customHeight="1" x14ac:dyDescent="0.3">
      <c r="A14" s="170"/>
      <c r="B14" s="160"/>
      <c r="C14" s="160"/>
      <c r="D14" s="143"/>
      <c r="E14" s="160"/>
      <c r="F14" s="163"/>
      <c r="G14" s="163"/>
      <c r="H14" s="160"/>
      <c r="I14" s="165"/>
      <c r="J14" s="172"/>
      <c r="K14" s="174"/>
      <c r="L14" s="176"/>
      <c r="M14" s="235">
        <f ca="1">IF(NOT(ISERROR(MATCH(L14,_xlfn.ANCHORARRAY(G25),0))),K27&amp;"Por favor no seleccionar los criterios de impacto",L14)</f>
        <v>0</v>
      </c>
      <c r="N14" s="232"/>
      <c r="O14" s="235"/>
      <c r="P14" s="223"/>
      <c r="Q14" s="125">
        <v>6</v>
      </c>
      <c r="R14" s="126"/>
      <c r="S14" s="127" t="str">
        <f t="shared" si="5"/>
        <v/>
      </c>
      <c r="T14" s="128"/>
      <c r="U14" s="128"/>
      <c r="V14" s="129" t="str">
        <f t="shared" si="0"/>
        <v/>
      </c>
      <c r="W14" s="128"/>
      <c r="X14" s="128"/>
      <c r="Y14" s="128"/>
      <c r="Z14" s="130" t="str">
        <f>IFERROR(IF(AND(S13="Probabilidad",S14="Probabilidad"),(AB13-(+AB13*V14)),IF(AND(S13="Impacto",S14="Probabilidad"),(#REF!-(+#REF!*V14)),IF(S14="Impacto",AB13,""))),"")</f>
        <v/>
      </c>
      <c r="AA14" s="131" t="str">
        <f t="shared" si="1"/>
        <v/>
      </c>
      <c r="AB14" s="132" t="str">
        <f t="shared" si="2"/>
        <v/>
      </c>
      <c r="AC14" s="131" t="str">
        <f t="shared" si="3"/>
        <v/>
      </c>
      <c r="AD14" s="140" t="str">
        <f>IFERROR(IF(AND(S13="Impacto",S14="Impacto"),(AD13-(+AD13*V14)),IF(AND(S13="Probabilidad",S14="Impacto"),(#REF!-(+#REF!*V14)),IF(S14="Probabilidad",AD13,""))),"")</f>
        <v/>
      </c>
      <c r="AE14" s="133" t="str">
        <f t="shared" si="4"/>
        <v/>
      </c>
      <c r="AF14" s="134"/>
      <c r="AG14" s="135"/>
      <c r="AH14" s="136"/>
      <c r="AI14" s="137"/>
      <c r="AJ14" s="137"/>
      <c r="AK14" s="135"/>
      <c r="AL14" s="136"/>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151.5" customHeight="1" x14ac:dyDescent="0.3">
      <c r="A15" s="265">
        <v>2</v>
      </c>
      <c r="B15" s="224"/>
      <c r="C15" s="224"/>
      <c r="D15" s="141"/>
      <c r="E15" s="224"/>
      <c r="F15" s="268"/>
      <c r="G15" s="268"/>
      <c r="H15" s="224"/>
      <c r="I15" s="227"/>
      <c r="J15" s="230" t="str">
        <f>IF(I15&lt;=0,"",IF(I15&lt;=2,"Muy Baja",IF(I15&lt;=24,"Baja",IF(I15&lt;=500,"Media",IF(I15&lt;=5000,"Alta","Muy Alta")))))</f>
        <v/>
      </c>
      <c r="K15" s="233" t="str">
        <f>IF(J15="","",IF(J15="Muy Baja",0.2,IF(J15="Baja",0.4,IF(J15="Media",0.6,IF(J15="Alta",0.8,IF(J15="Muy Alta",1,))))))</f>
        <v/>
      </c>
      <c r="L15" s="236"/>
      <c r="M15" s="233">
        <f ca="1">IF(NOT(ISERROR(MATCH(L15,'Tabla Impacto'!$B$221:$B$223,0))),'Tabla Impacto'!$F$223&amp;"Por favor no seleccionar los criterios de impacto(Afectación Económica o presupuestal y Pérdida Reputacional)",L15)</f>
        <v>0</v>
      </c>
      <c r="N15" s="230" t="str">
        <f ca="1">IF(OR(M15='Tabla Impacto'!$C$11,M15='Tabla Impacto'!$D$11),"Leve",IF(OR(M15='Tabla Impacto'!$C$12,M15='Tabla Impacto'!$D$12),"Menor",IF(OR(M15='Tabla Impacto'!$C$13,M15='Tabla Impacto'!$D$13),"Moderado",IF(OR(M15='Tabla Impacto'!$C$14,M15='Tabla Impacto'!$D$14),"Mayor",IF(OR(M15='Tabla Impacto'!$C$15,M15='Tabla Impacto'!$D$15),"Catastrófico","")))))</f>
        <v/>
      </c>
      <c r="O15" s="233" t="str">
        <f ca="1">IF(N15="","",IF(N15="Leve",0.2,IF(N15="Menor",0.4,IF(N15="Moderado",0.6,IF(N15="Mayor",0.8,IF(N15="Catastrófico",1,))))))</f>
        <v/>
      </c>
      <c r="P15" s="221" t="str">
        <f ca="1">IF(OR(AND(J15="Muy Baja",N15="Leve"),AND(J15="Muy Baja",N15="Menor"),AND(J15="Baja",N15="Leve")),"Bajo",IF(OR(AND(J15="Muy baja",N15="Moderado"),AND(J15="Baja",N15="Menor"),AND(J15="Baja",N15="Moderado"),AND(J15="Media",N15="Leve"),AND(J15="Media",N15="Menor"),AND(J15="Media",N15="Moderado"),AND(J15="Alta",N15="Leve"),AND(J15="Alta",N15="Menor")),"Moderado",IF(OR(AND(J15="Muy Baja",N15="Mayor"),AND(J15="Baja",N15="Mayor"),AND(J15="Media",N15="Mayor"),AND(J15="Alta",N15="Moderado"),AND(J15="Alta",N15="Mayor"),AND(J15="Muy Alta",N15="Leve"),AND(J15="Muy Alta",N15="Menor"),AND(J15="Muy Alta",N15="Moderado"),AND(J15="Muy Alta",N15="Mayor")),"Alto",IF(OR(AND(J15="Muy Baja",N15="Catastrófico"),AND(J15="Baja",N15="Catastrófico"),AND(J15="Media",N15="Catastrófico"),AND(J15="Alta",N15="Catastrófico"),AND(J15="Muy Alta",N15="Catastrófico")),"Extremo",""))))</f>
        <v/>
      </c>
      <c r="Q15" s="125">
        <v>1</v>
      </c>
      <c r="R15" s="126"/>
      <c r="S15" s="127" t="str">
        <f>IF(OR(T15="Preventivo",T15="Detectivo"),"Probabilidad",IF(T15="Correctivo","Impacto",""))</f>
        <v/>
      </c>
      <c r="T15" s="128"/>
      <c r="U15" s="128"/>
      <c r="V15" s="129" t="str">
        <f>IF(AND(T15="Preventivo",U15="Automático"),"50%",IF(AND(T15="Preventivo",U15="Manual"),"40%",IF(AND(T15="Detectivo",U15="Automático"),"40%",IF(AND(T15="Detectivo",U15="Manual"),"30%",IF(AND(T15="Correctivo",U15="Automático"),"35%",IF(AND(T15="Correctivo",U15="Manual"),"25%",""))))))</f>
        <v/>
      </c>
      <c r="W15" s="128"/>
      <c r="X15" s="128"/>
      <c r="Y15" s="128"/>
      <c r="Z15" s="130" t="str">
        <f>IFERROR(IF(S15="Probabilidad",(K15-(+K15*V15)),IF(S15="Impacto",K15,"")),"")</f>
        <v/>
      </c>
      <c r="AA15" s="131" t="str">
        <f>IFERROR(IF(Z15="","",IF(Z15&lt;=0.2,"Muy Baja",IF(Z15&lt;=0.4,"Baja",IF(Z15&lt;=0.6,"Media",IF(Z15&lt;=0.8,"Alta","Muy Alta"))))),"")</f>
        <v/>
      </c>
      <c r="AB15" s="132" t="str">
        <f>+Z15</f>
        <v/>
      </c>
      <c r="AC15" s="131" t="str">
        <f>IFERROR(IF(AD15="","",IF(AD15&lt;=0.2,"Leve",IF(AD15&lt;=0.4,"Menor",IF(AD15&lt;=0.6,"Moderado",IF(AD15&lt;=0.8,"Mayor","Catastrófico"))))),"")</f>
        <v/>
      </c>
      <c r="AD15" s="140" t="str">
        <f>IFERROR(IF(S15="Impacto",(O15-(+O15*V15)),IF(S15="Probabilidad",O15,"")),"")</f>
        <v/>
      </c>
      <c r="AE15" s="133" t="str">
        <f>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
      </c>
      <c r="AF15" s="134"/>
      <c r="AG15" s="135"/>
      <c r="AH15" s="136"/>
      <c r="AI15" s="137"/>
      <c r="AJ15" s="137"/>
      <c r="AK15" s="135"/>
      <c r="AL15" s="136"/>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151.5" customHeight="1" x14ac:dyDescent="0.3">
      <c r="A16" s="266"/>
      <c r="B16" s="225"/>
      <c r="C16" s="225"/>
      <c r="D16" s="142"/>
      <c r="E16" s="225"/>
      <c r="F16" s="269"/>
      <c r="G16" s="269"/>
      <c r="H16" s="225"/>
      <c r="I16" s="228"/>
      <c r="J16" s="231"/>
      <c r="K16" s="234"/>
      <c r="L16" s="237"/>
      <c r="M16" s="234">
        <f ca="1">IF(NOT(ISERROR(MATCH(L16,_xlfn.ANCHORARRAY(G27),0))),K29&amp;"Por favor no seleccionar los criterios de impacto",L16)</f>
        <v>0</v>
      </c>
      <c r="N16" s="231"/>
      <c r="O16" s="234"/>
      <c r="P16" s="222"/>
      <c r="Q16" s="125">
        <v>2</v>
      </c>
      <c r="R16" s="126"/>
      <c r="S16" s="127" t="str">
        <f>IF(OR(T16="Preventivo",T16="Detectivo"),"Probabilidad",IF(T16="Correctivo","Impacto",""))</f>
        <v/>
      </c>
      <c r="T16" s="128"/>
      <c r="U16" s="128"/>
      <c r="V16" s="129" t="str">
        <f t="shared" ref="V16:V20" si="6">IF(AND(T16="Preventivo",U16="Automático"),"50%",IF(AND(T16="Preventivo",U16="Manual"),"40%",IF(AND(T16="Detectivo",U16="Automático"),"40%",IF(AND(T16="Detectivo",U16="Manual"),"30%",IF(AND(T16="Correctivo",U16="Automático"),"35%",IF(AND(T16="Correctivo",U16="Manual"),"25%",""))))))</f>
        <v/>
      </c>
      <c r="W16" s="128"/>
      <c r="X16" s="128"/>
      <c r="Y16" s="128"/>
      <c r="Z16" s="130" t="str">
        <f>IFERROR(IF(AND(S15="Probabilidad",S16="Probabilidad"),(AB15-(+AB15*V16)),IF(S16="Probabilidad",(K15-(+K15*V16)),IF(S16="Impacto",AB15,""))),"")</f>
        <v/>
      </c>
      <c r="AA16" s="131" t="str">
        <f t="shared" si="1"/>
        <v/>
      </c>
      <c r="AB16" s="132" t="str">
        <f t="shared" ref="AB16:AB20" si="7">+Z16</f>
        <v/>
      </c>
      <c r="AC16" s="131" t="str">
        <f t="shared" si="3"/>
        <v/>
      </c>
      <c r="AD16" s="140" t="str">
        <f>IFERROR(IF(AND(S15="Impacto",S16="Impacto"),(AD15-(+AD15*V16)),IF(S16="Impacto",(O15-(+O15*V16)),IF(S16="Probabilidad",AD15,""))),"")</f>
        <v/>
      </c>
      <c r="AE16" s="133" t="str">
        <f t="shared" ref="AE16:AE17" si="8">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134"/>
      <c r="AG16" s="135"/>
      <c r="AH16" s="136"/>
      <c r="AI16" s="137"/>
      <c r="AJ16" s="137"/>
      <c r="AK16" s="135"/>
      <c r="AL16" s="136"/>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51.5" customHeight="1" x14ac:dyDescent="0.3">
      <c r="A17" s="266"/>
      <c r="B17" s="225"/>
      <c r="C17" s="225"/>
      <c r="D17" s="142"/>
      <c r="E17" s="225"/>
      <c r="F17" s="269"/>
      <c r="G17" s="269"/>
      <c r="H17" s="225"/>
      <c r="I17" s="228"/>
      <c r="J17" s="231"/>
      <c r="K17" s="234"/>
      <c r="L17" s="237"/>
      <c r="M17" s="234">
        <f ca="1">IF(NOT(ISERROR(MATCH(L17,_xlfn.ANCHORARRAY(G28),0))),K30&amp;"Por favor no seleccionar los criterios de impacto",L17)</f>
        <v>0</v>
      </c>
      <c r="N17" s="231"/>
      <c r="O17" s="234"/>
      <c r="P17" s="222"/>
      <c r="Q17" s="125">
        <v>3</v>
      </c>
      <c r="R17" s="138"/>
      <c r="S17" s="127" t="str">
        <f>IF(OR(T17="Preventivo",T17="Detectivo"),"Probabilidad",IF(T17="Correctivo","Impacto",""))</f>
        <v/>
      </c>
      <c r="T17" s="128"/>
      <c r="U17" s="128"/>
      <c r="V17" s="129" t="str">
        <f t="shared" si="6"/>
        <v/>
      </c>
      <c r="W17" s="128"/>
      <c r="X17" s="128"/>
      <c r="Y17" s="128"/>
      <c r="Z17" s="130" t="str">
        <f>IFERROR(IF(AND(S16="Probabilidad",S17="Probabilidad"),(AB16-(+AB16*V17)),IF(AND(S16="Impacto",S17="Probabilidad"),(AB15-(+AB15*V17)),IF(S17="Impacto",AB16,""))),"")</f>
        <v/>
      </c>
      <c r="AA17" s="131" t="str">
        <f t="shared" si="1"/>
        <v/>
      </c>
      <c r="AB17" s="132" t="str">
        <f t="shared" si="7"/>
        <v/>
      </c>
      <c r="AC17" s="131" t="str">
        <f t="shared" si="3"/>
        <v/>
      </c>
      <c r="AD17" s="140" t="str">
        <f>IFERROR(IF(AND(S16="Impacto",S17="Impacto"),(AD16-(+AD16*V17)),IF(AND(S16="Probabilidad",S17="Impacto"),(AD15-(+AD15*V17)),IF(S17="Probabilidad",AD16,""))),"")</f>
        <v/>
      </c>
      <c r="AE17" s="133" t="str">
        <f t="shared" si="8"/>
        <v/>
      </c>
      <c r="AF17" s="134"/>
      <c r="AG17" s="135"/>
      <c r="AH17" s="136"/>
      <c r="AI17" s="137"/>
      <c r="AJ17" s="137"/>
      <c r="AK17" s="135"/>
      <c r="AL17" s="136"/>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151.5" customHeight="1" x14ac:dyDescent="0.3">
      <c r="A18" s="266"/>
      <c r="B18" s="225"/>
      <c r="C18" s="225"/>
      <c r="D18" s="142"/>
      <c r="E18" s="225"/>
      <c r="F18" s="269"/>
      <c r="G18" s="269"/>
      <c r="H18" s="225"/>
      <c r="I18" s="228"/>
      <c r="J18" s="231"/>
      <c r="K18" s="234"/>
      <c r="L18" s="237"/>
      <c r="M18" s="234">
        <f ca="1">IF(NOT(ISERROR(MATCH(L18,_xlfn.ANCHORARRAY(G29),0))),K31&amp;"Por favor no seleccionar los criterios de impacto",L18)</f>
        <v>0</v>
      </c>
      <c r="N18" s="231"/>
      <c r="O18" s="234"/>
      <c r="P18" s="222"/>
      <c r="Q18" s="125">
        <v>4</v>
      </c>
      <c r="R18" s="126"/>
      <c r="S18" s="127" t="str">
        <f t="shared" ref="S18:S20" si="9">IF(OR(T18="Preventivo",T18="Detectivo"),"Probabilidad",IF(T18="Correctivo","Impacto",""))</f>
        <v/>
      </c>
      <c r="T18" s="128"/>
      <c r="U18" s="128"/>
      <c r="V18" s="129" t="str">
        <f t="shared" si="6"/>
        <v/>
      </c>
      <c r="W18" s="128"/>
      <c r="X18" s="128"/>
      <c r="Y18" s="128"/>
      <c r="Z18" s="130" t="str">
        <f t="shared" ref="Z18:Z20" si="10">IFERROR(IF(AND(S17="Probabilidad",S18="Probabilidad"),(AB17-(+AB17*V18)),IF(AND(S17="Impacto",S18="Probabilidad"),(AB16-(+AB16*V18)),IF(S18="Impacto",AB17,""))),"")</f>
        <v/>
      </c>
      <c r="AA18" s="131" t="str">
        <f t="shared" si="1"/>
        <v/>
      </c>
      <c r="AB18" s="132" t="str">
        <f t="shared" si="7"/>
        <v/>
      </c>
      <c r="AC18" s="131" t="str">
        <f t="shared" si="3"/>
        <v/>
      </c>
      <c r="AD18" s="140" t="str">
        <f t="shared" ref="AD18:AD20" si="11">IFERROR(IF(AND(S17="Impacto",S18="Impacto"),(AD17-(+AD17*V18)),IF(AND(S17="Probabilidad",S18="Impacto"),(AD16-(+AD16*V18)),IF(S18="Probabilidad",AD17,""))),"")</f>
        <v/>
      </c>
      <c r="AE18" s="133" t="str">
        <f>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
      </c>
      <c r="AF18" s="134"/>
      <c r="AG18" s="135"/>
      <c r="AH18" s="136"/>
      <c r="AI18" s="137"/>
      <c r="AJ18" s="137"/>
      <c r="AK18" s="135"/>
      <c r="AL18" s="13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151.5" customHeight="1" x14ac:dyDescent="0.3">
      <c r="A19" s="266"/>
      <c r="B19" s="225"/>
      <c r="C19" s="225"/>
      <c r="D19" s="142"/>
      <c r="E19" s="225"/>
      <c r="F19" s="269"/>
      <c r="G19" s="269"/>
      <c r="H19" s="225"/>
      <c r="I19" s="228"/>
      <c r="J19" s="231"/>
      <c r="K19" s="234"/>
      <c r="L19" s="237"/>
      <c r="M19" s="234">
        <f ca="1">IF(NOT(ISERROR(MATCH(L19,_xlfn.ANCHORARRAY(G30),0))),K32&amp;"Por favor no seleccionar los criterios de impacto",L19)</f>
        <v>0</v>
      </c>
      <c r="N19" s="231"/>
      <c r="O19" s="234"/>
      <c r="P19" s="222"/>
      <c r="Q19" s="125">
        <v>5</v>
      </c>
      <c r="R19" s="126"/>
      <c r="S19" s="127" t="str">
        <f t="shared" si="9"/>
        <v/>
      </c>
      <c r="T19" s="128"/>
      <c r="U19" s="128"/>
      <c r="V19" s="129" t="str">
        <f t="shared" si="6"/>
        <v/>
      </c>
      <c r="W19" s="128"/>
      <c r="X19" s="128"/>
      <c r="Y19" s="128"/>
      <c r="Z19" s="130" t="str">
        <f t="shared" si="10"/>
        <v/>
      </c>
      <c r="AA19" s="131" t="str">
        <f t="shared" si="1"/>
        <v/>
      </c>
      <c r="AB19" s="132" t="str">
        <f t="shared" si="7"/>
        <v/>
      </c>
      <c r="AC19" s="131" t="str">
        <f t="shared" si="3"/>
        <v/>
      </c>
      <c r="AD19" s="140" t="str">
        <f t="shared" si="11"/>
        <v/>
      </c>
      <c r="AE19" s="133" t="str">
        <f t="shared" ref="AE19:AE20" si="12">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34"/>
      <c r="AG19" s="135"/>
      <c r="AH19" s="136"/>
      <c r="AI19" s="137"/>
      <c r="AJ19" s="137"/>
      <c r="AK19" s="135"/>
      <c r="AL19" s="13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151.5" customHeight="1" x14ac:dyDescent="0.3">
      <c r="A20" s="267"/>
      <c r="B20" s="226"/>
      <c r="C20" s="226"/>
      <c r="D20" s="143"/>
      <c r="E20" s="226"/>
      <c r="F20" s="270"/>
      <c r="G20" s="270"/>
      <c r="H20" s="226"/>
      <c r="I20" s="229"/>
      <c r="J20" s="232"/>
      <c r="K20" s="235"/>
      <c r="L20" s="238"/>
      <c r="M20" s="235">
        <f ca="1">IF(NOT(ISERROR(MATCH(L20,_xlfn.ANCHORARRAY(G31),0))),K33&amp;"Por favor no seleccionar los criterios de impacto",L20)</f>
        <v>0</v>
      </c>
      <c r="N20" s="232"/>
      <c r="O20" s="235"/>
      <c r="P20" s="223"/>
      <c r="Q20" s="125">
        <v>6</v>
      </c>
      <c r="R20" s="126"/>
      <c r="S20" s="127" t="str">
        <f t="shared" si="9"/>
        <v/>
      </c>
      <c r="T20" s="128"/>
      <c r="U20" s="128"/>
      <c r="V20" s="129" t="str">
        <f t="shared" si="6"/>
        <v/>
      </c>
      <c r="W20" s="128"/>
      <c r="X20" s="128"/>
      <c r="Y20" s="128"/>
      <c r="Z20" s="130" t="str">
        <f t="shared" si="10"/>
        <v/>
      </c>
      <c r="AA20" s="131" t="str">
        <f t="shared" si="1"/>
        <v/>
      </c>
      <c r="AB20" s="132" t="str">
        <f t="shared" si="7"/>
        <v/>
      </c>
      <c r="AC20" s="131" t="str">
        <f t="shared" si="3"/>
        <v/>
      </c>
      <c r="AD20" s="140" t="str">
        <f t="shared" si="11"/>
        <v/>
      </c>
      <c r="AE20" s="133" t="str">
        <f t="shared" si="12"/>
        <v/>
      </c>
      <c r="AF20" s="134"/>
      <c r="AG20" s="135"/>
      <c r="AH20" s="136"/>
      <c r="AI20" s="137"/>
      <c r="AJ20" s="137"/>
      <c r="AK20" s="135"/>
      <c r="AL20" s="13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151.5" customHeight="1" x14ac:dyDescent="0.3">
      <c r="A21" s="265">
        <v>3</v>
      </c>
      <c r="B21" s="224"/>
      <c r="C21" s="224"/>
      <c r="D21" s="141"/>
      <c r="E21" s="224"/>
      <c r="F21" s="268"/>
      <c r="G21" s="268"/>
      <c r="H21" s="224"/>
      <c r="I21" s="227"/>
      <c r="J21" s="230" t="str">
        <f>IF(I21&lt;=0,"",IF(I21&lt;=2,"Muy Baja",IF(I21&lt;=24,"Baja",IF(I21&lt;=500,"Media",IF(I21&lt;=5000,"Alta","Muy Alta")))))</f>
        <v/>
      </c>
      <c r="K21" s="233" t="str">
        <f>IF(J21="","",IF(J21="Muy Baja",0.2,IF(J21="Baja",0.4,IF(J21="Media",0.6,IF(J21="Alta",0.8,IF(J21="Muy Alta",1,))))))</f>
        <v/>
      </c>
      <c r="L21" s="236"/>
      <c r="M21" s="233">
        <f ca="1">IF(NOT(ISERROR(MATCH(L21,'Tabla Impacto'!$B$221:$B$223,0))),'Tabla Impacto'!$F$223&amp;"Por favor no seleccionar los criterios de impacto(Afectación Económica o presupuestal y Pérdida Reputacional)",L21)</f>
        <v>0</v>
      </c>
      <c r="N21" s="230" t="str">
        <f ca="1">IF(OR(M21='Tabla Impacto'!$C$11,M21='Tabla Impacto'!$D$11),"Leve",IF(OR(M21='Tabla Impacto'!$C$12,M21='Tabla Impacto'!$D$12),"Menor",IF(OR(M21='Tabla Impacto'!$C$13,M21='Tabla Impacto'!$D$13),"Moderado",IF(OR(M21='Tabla Impacto'!$C$14,M21='Tabla Impacto'!$D$14),"Mayor",IF(OR(M21='Tabla Impacto'!$C$15,M21='Tabla Impacto'!$D$15),"Catastrófico","")))))</f>
        <v/>
      </c>
      <c r="O21" s="233" t="str">
        <f ca="1">IF(N21="","",IF(N21="Leve",0.2,IF(N21="Menor",0.4,IF(N21="Moderado",0.6,IF(N21="Mayor",0.8,IF(N21="Catastrófico",1,))))))</f>
        <v/>
      </c>
      <c r="P21" s="221" t="str">
        <f ca="1">IF(OR(AND(J21="Muy Baja",N21="Leve"),AND(J21="Muy Baja",N21="Menor"),AND(J21="Baja",N21="Leve")),"Bajo",IF(OR(AND(J21="Muy baja",N21="Moderado"),AND(J21="Baja",N21="Menor"),AND(J21="Baja",N21="Moderado"),AND(J21="Media",N21="Leve"),AND(J21="Media",N21="Menor"),AND(J21="Media",N21="Moderado"),AND(J21="Alta",N21="Leve"),AND(J21="Alta",N21="Menor")),"Moderado",IF(OR(AND(J21="Muy Baja",N21="Mayor"),AND(J21="Baja",N21="Mayor"),AND(J21="Media",N21="Mayor"),AND(J21="Alta",N21="Moderado"),AND(J21="Alta",N21="Mayor"),AND(J21="Muy Alta",N21="Leve"),AND(J21="Muy Alta",N21="Menor"),AND(J21="Muy Alta",N21="Moderado"),AND(J21="Muy Alta",N21="Mayor")),"Alto",IF(OR(AND(J21="Muy Baja",N21="Catastrófico"),AND(J21="Baja",N21="Catastrófico"),AND(J21="Media",N21="Catastrófico"),AND(J21="Alta",N21="Catastrófico"),AND(J21="Muy Alta",N21="Catastrófico")),"Extremo",""))))</f>
        <v/>
      </c>
      <c r="Q21" s="125">
        <v>1</v>
      </c>
      <c r="R21" s="126"/>
      <c r="S21" s="127" t="str">
        <f>IF(OR(T21="Preventivo",T21="Detectivo"),"Probabilidad",IF(T21="Correctivo","Impacto",""))</f>
        <v/>
      </c>
      <c r="T21" s="128"/>
      <c r="U21" s="128"/>
      <c r="V21" s="129" t="str">
        <f>IF(AND(T21="Preventivo",U21="Automático"),"50%",IF(AND(T21="Preventivo",U21="Manual"),"40%",IF(AND(T21="Detectivo",U21="Automático"),"40%",IF(AND(T21="Detectivo",U21="Manual"),"30%",IF(AND(T21="Correctivo",U21="Automático"),"35%",IF(AND(T21="Correctivo",U21="Manual"),"25%",""))))))</f>
        <v/>
      </c>
      <c r="W21" s="128"/>
      <c r="X21" s="128"/>
      <c r="Y21" s="128"/>
      <c r="Z21" s="130" t="str">
        <f>IFERROR(IF(S21="Probabilidad",(K21-(+K21*V21)),IF(S21="Impacto",K21,"")),"")</f>
        <v/>
      </c>
      <c r="AA21" s="131" t="str">
        <f>IFERROR(IF(Z21="","",IF(Z21&lt;=0.2,"Muy Baja",IF(Z21&lt;=0.4,"Baja",IF(Z21&lt;=0.6,"Media",IF(Z21&lt;=0.8,"Alta","Muy Alta"))))),"")</f>
        <v/>
      </c>
      <c r="AB21" s="132" t="str">
        <f>+Z21</f>
        <v/>
      </c>
      <c r="AC21" s="131" t="str">
        <f>IFERROR(IF(AD21="","",IF(AD21&lt;=0.2,"Leve",IF(AD21&lt;=0.4,"Menor",IF(AD21&lt;=0.6,"Moderado",IF(AD21&lt;=0.8,"Mayor","Catastrófico"))))),"")</f>
        <v/>
      </c>
      <c r="AD21" s="140" t="str">
        <f>IFERROR(IF(S21="Impacto",(O21-(+O21*V21)),IF(S21="Probabilidad",O21,"")),"")</f>
        <v/>
      </c>
      <c r="AE21" s="133" t="str">
        <f>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
      </c>
      <c r="AF21" s="134"/>
      <c r="AG21" s="135"/>
      <c r="AH21" s="136"/>
      <c r="AI21" s="137"/>
      <c r="AJ21" s="137"/>
      <c r="AK21" s="135"/>
      <c r="AL21" s="13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51.5" customHeight="1" x14ac:dyDescent="0.3">
      <c r="A22" s="266"/>
      <c r="B22" s="225"/>
      <c r="C22" s="225"/>
      <c r="D22" s="142"/>
      <c r="E22" s="225"/>
      <c r="F22" s="269"/>
      <c r="G22" s="269"/>
      <c r="H22" s="225"/>
      <c r="I22" s="228"/>
      <c r="J22" s="231"/>
      <c r="K22" s="234"/>
      <c r="L22" s="237"/>
      <c r="M22" s="234">
        <f ca="1">IF(NOT(ISERROR(MATCH(L22,_xlfn.ANCHORARRAY(G33),0))),K35&amp;"Por favor no seleccionar los criterios de impacto",L22)</f>
        <v>0</v>
      </c>
      <c r="N22" s="231"/>
      <c r="O22" s="234"/>
      <c r="P22" s="222"/>
      <c r="Q22" s="125">
        <v>2</v>
      </c>
      <c r="R22" s="126"/>
      <c r="S22" s="127" t="str">
        <f>IF(OR(T22="Preventivo",T22="Detectivo"),"Probabilidad",IF(T22="Correctivo","Impacto",""))</f>
        <v/>
      </c>
      <c r="T22" s="128"/>
      <c r="U22" s="128"/>
      <c r="V22" s="129" t="str">
        <f t="shared" ref="V22:V26" si="13">IF(AND(T22="Preventivo",U22="Automático"),"50%",IF(AND(T22="Preventivo",U22="Manual"),"40%",IF(AND(T22="Detectivo",U22="Automático"),"40%",IF(AND(T22="Detectivo",U22="Manual"),"30%",IF(AND(T22="Correctivo",U22="Automático"),"35%",IF(AND(T22="Correctivo",U22="Manual"),"25%",""))))))</f>
        <v/>
      </c>
      <c r="W22" s="128"/>
      <c r="X22" s="128"/>
      <c r="Y22" s="128"/>
      <c r="Z22" s="139" t="str">
        <f>IFERROR(IF(AND(S21="Probabilidad",S22="Probabilidad"),(AB21-(+AB21*V22)),IF(S22="Probabilidad",(K21-(+K21*V22)),IF(S22="Impacto",AB21,""))),"")</f>
        <v/>
      </c>
      <c r="AA22" s="131" t="str">
        <f t="shared" si="1"/>
        <v/>
      </c>
      <c r="AB22" s="132" t="str">
        <f t="shared" ref="AB22:AB26" si="14">+Z22</f>
        <v/>
      </c>
      <c r="AC22" s="131" t="str">
        <f t="shared" si="3"/>
        <v/>
      </c>
      <c r="AD22" s="140" t="str">
        <f>IFERROR(IF(AND(S21="Impacto",S22="Impacto"),(AD21-(+AD21*V22)),IF(S22="Impacto",(O21-(+O21*V22)),IF(S22="Probabilidad",AD21,""))),"")</f>
        <v/>
      </c>
      <c r="AE22" s="133" t="str">
        <f t="shared" ref="AE22:AE23" si="15">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34"/>
      <c r="AG22" s="135"/>
      <c r="AH22" s="136"/>
      <c r="AI22" s="137"/>
      <c r="AJ22" s="137"/>
      <c r="AK22" s="135"/>
      <c r="AL22" s="13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151.5" customHeight="1" x14ac:dyDescent="0.3">
      <c r="A23" s="266"/>
      <c r="B23" s="225"/>
      <c r="C23" s="225"/>
      <c r="D23" s="142"/>
      <c r="E23" s="225"/>
      <c r="F23" s="269"/>
      <c r="G23" s="269"/>
      <c r="H23" s="225"/>
      <c r="I23" s="228"/>
      <c r="J23" s="231"/>
      <c r="K23" s="234"/>
      <c r="L23" s="237"/>
      <c r="M23" s="234">
        <f ca="1">IF(NOT(ISERROR(MATCH(L23,_xlfn.ANCHORARRAY(G34),0))),K36&amp;"Por favor no seleccionar los criterios de impacto",L23)</f>
        <v>0</v>
      </c>
      <c r="N23" s="231"/>
      <c r="O23" s="234"/>
      <c r="P23" s="222"/>
      <c r="Q23" s="125">
        <v>3</v>
      </c>
      <c r="R23" s="138"/>
      <c r="S23" s="127" t="str">
        <f>IF(OR(T23="Preventivo",T23="Detectivo"),"Probabilidad",IF(T23="Correctivo","Impacto",""))</f>
        <v/>
      </c>
      <c r="T23" s="128"/>
      <c r="U23" s="128"/>
      <c r="V23" s="129" t="str">
        <f t="shared" si="13"/>
        <v/>
      </c>
      <c r="W23" s="128"/>
      <c r="X23" s="128"/>
      <c r="Y23" s="128"/>
      <c r="Z23" s="130" t="str">
        <f>IFERROR(IF(AND(S22="Probabilidad",S23="Probabilidad"),(AB22-(+AB22*V23)),IF(AND(S22="Impacto",S23="Probabilidad"),(AB21-(+AB21*V23)),IF(S23="Impacto",AB22,""))),"")</f>
        <v/>
      </c>
      <c r="AA23" s="131" t="str">
        <f t="shared" si="1"/>
        <v/>
      </c>
      <c r="AB23" s="132" t="str">
        <f t="shared" si="14"/>
        <v/>
      </c>
      <c r="AC23" s="131" t="str">
        <f t="shared" si="3"/>
        <v/>
      </c>
      <c r="AD23" s="140" t="str">
        <f>IFERROR(IF(AND(S22="Impacto",S23="Impacto"),(AD22-(+AD22*V23)),IF(AND(S22="Probabilidad",S23="Impacto"),(AD21-(+AD21*V23)),IF(S23="Probabilidad",AD22,""))),"")</f>
        <v/>
      </c>
      <c r="AE23" s="133" t="str">
        <f t="shared" si="15"/>
        <v/>
      </c>
      <c r="AF23" s="134"/>
      <c r="AG23" s="135"/>
      <c r="AH23" s="136"/>
      <c r="AI23" s="137"/>
      <c r="AJ23" s="137"/>
      <c r="AK23" s="135"/>
      <c r="AL23" s="13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151.5" customHeight="1" x14ac:dyDescent="0.3">
      <c r="A24" s="266"/>
      <c r="B24" s="225"/>
      <c r="C24" s="225"/>
      <c r="D24" s="142"/>
      <c r="E24" s="225"/>
      <c r="F24" s="269"/>
      <c r="G24" s="269"/>
      <c r="H24" s="225"/>
      <c r="I24" s="228"/>
      <c r="J24" s="231"/>
      <c r="K24" s="234"/>
      <c r="L24" s="237"/>
      <c r="M24" s="234">
        <f ca="1">IF(NOT(ISERROR(MATCH(L24,_xlfn.ANCHORARRAY(G35),0))),K37&amp;"Por favor no seleccionar los criterios de impacto",L24)</f>
        <v>0</v>
      </c>
      <c r="N24" s="231"/>
      <c r="O24" s="234"/>
      <c r="P24" s="222"/>
      <c r="Q24" s="125">
        <v>4</v>
      </c>
      <c r="R24" s="126"/>
      <c r="S24" s="127" t="str">
        <f t="shared" ref="S24:S26" si="16">IF(OR(T24="Preventivo",T24="Detectivo"),"Probabilidad",IF(T24="Correctivo","Impacto",""))</f>
        <v/>
      </c>
      <c r="T24" s="128"/>
      <c r="U24" s="128"/>
      <c r="V24" s="129" t="str">
        <f t="shared" si="13"/>
        <v/>
      </c>
      <c r="W24" s="128"/>
      <c r="X24" s="128"/>
      <c r="Y24" s="128"/>
      <c r="Z24" s="130" t="str">
        <f t="shared" ref="Z24:Z26" si="17">IFERROR(IF(AND(S23="Probabilidad",S24="Probabilidad"),(AB23-(+AB23*V24)),IF(AND(S23="Impacto",S24="Probabilidad"),(AB22-(+AB22*V24)),IF(S24="Impacto",AB23,""))),"")</f>
        <v/>
      </c>
      <c r="AA24" s="131" t="str">
        <f t="shared" si="1"/>
        <v/>
      </c>
      <c r="AB24" s="132" t="str">
        <f t="shared" si="14"/>
        <v/>
      </c>
      <c r="AC24" s="131" t="str">
        <f t="shared" si="3"/>
        <v/>
      </c>
      <c r="AD24" s="140" t="str">
        <f t="shared" ref="AD24:AD26" si="18">IFERROR(IF(AND(S23="Impacto",S24="Impacto"),(AD23-(+AD23*V24)),IF(AND(S23="Probabilidad",S24="Impacto"),(AD22-(+AD22*V24)),IF(S24="Probabilidad",AD23,""))),"")</f>
        <v/>
      </c>
      <c r="AE24" s="133" t="str">
        <f>IFERROR(IF(OR(AND(AA24="Muy Baja",AC24="Leve"),AND(AA24="Muy Baja",AC24="Menor"),AND(AA24="Baja",AC24="Leve")),"Bajo",IF(OR(AND(AA24="Muy baja",AC24="Moderado"),AND(AA24="Baja",AC24="Menor"),AND(AA24="Baja",AC24="Moderado"),AND(AA24="Media",AC24="Leve"),AND(AA24="Media",AC24="Menor"),AND(AA24="Media",AC24="Moderado"),AND(AA24="Alta",AC24="Leve"),AND(AA24="Alta",AC24="Menor")),"Moderado",IF(OR(AND(AA24="Muy Baja",AC24="Mayor"),AND(AA24="Baja",AC24="Mayor"),AND(AA24="Media",AC24="Mayor"),AND(AA24="Alta",AC24="Moderado"),AND(AA24="Alta",AC24="Mayor"),AND(AA24="Muy Alta",AC24="Leve"),AND(AA24="Muy Alta",AC24="Menor"),AND(AA24="Muy Alta",AC24="Moderado"),AND(AA24="Muy Alta",AC24="Mayor")),"Alto",IF(OR(AND(AA24="Muy Baja",AC24="Catastrófico"),AND(AA24="Baja",AC24="Catastrófico"),AND(AA24="Media",AC24="Catastrófico"),AND(AA24="Alta",AC24="Catastrófico"),AND(AA24="Muy Alta",AC24="Catastrófico")),"Extremo","")))),"")</f>
        <v/>
      </c>
      <c r="AF24" s="134"/>
      <c r="AG24" s="135"/>
      <c r="AH24" s="136"/>
      <c r="AI24" s="137"/>
      <c r="AJ24" s="137"/>
      <c r="AK24" s="135"/>
      <c r="AL24" s="13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151.5" customHeight="1" x14ac:dyDescent="0.3">
      <c r="A25" s="266"/>
      <c r="B25" s="225"/>
      <c r="C25" s="225"/>
      <c r="D25" s="142"/>
      <c r="E25" s="225"/>
      <c r="F25" s="269"/>
      <c r="G25" s="269"/>
      <c r="H25" s="225"/>
      <c r="I25" s="228"/>
      <c r="J25" s="231"/>
      <c r="K25" s="234"/>
      <c r="L25" s="237"/>
      <c r="M25" s="234">
        <f ca="1">IF(NOT(ISERROR(MATCH(L25,_xlfn.ANCHORARRAY(G36),0))),K38&amp;"Por favor no seleccionar los criterios de impacto",L25)</f>
        <v>0</v>
      </c>
      <c r="N25" s="231"/>
      <c r="O25" s="234"/>
      <c r="P25" s="222"/>
      <c r="Q25" s="125">
        <v>5</v>
      </c>
      <c r="R25" s="126"/>
      <c r="S25" s="127" t="str">
        <f t="shared" si="16"/>
        <v/>
      </c>
      <c r="T25" s="128"/>
      <c r="U25" s="128"/>
      <c r="V25" s="129" t="str">
        <f t="shared" si="13"/>
        <v/>
      </c>
      <c r="W25" s="128"/>
      <c r="X25" s="128"/>
      <c r="Y25" s="128"/>
      <c r="Z25" s="130" t="str">
        <f t="shared" si="17"/>
        <v/>
      </c>
      <c r="AA25" s="131" t="str">
        <f t="shared" si="1"/>
        <v/>
      </c>
      <c r="AB25" s="132" t="str">
        <f t="shared" si="14"/>
        <v/>
      </c>
      <c r="AC25" s="131" t="str">
        <f t="shared" si="3"/>
        <v/>
      </c>
      <c r="AD25" s="140" t="str">
        <f t="shared" si="18"/>
        <v/>
      </c>
      <c r="AE25" s="133" t="str">
        <f t="shared" ref="AE25:AE26" si="19">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34"/>
      <c r="AG25" s="135"/>
      <c r="AH25" s="136"/>
      <c r="AI25" s="137"/>
      <c r="AJ25" s="137"/>
      <c r="AK25" s="135"/>
      <c r="AL25" s="13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151.5" customHeight="1" x14ac:dyDescent="0.3">
      <c r="A26" s="267"/>
      <c r="B26" s="226"/>
      <c r="C26" s="226"/>
      <c r="D26" s="143"/>
      <c r="E26" s="226"/>
      <c r="F26" s="270"/>
      <c r="G26" s="270"/>
      <c r="H26" s="226"/>
      <c r="I26" s="229"/>
      <c r="J26" s="232"/>
      <c r="K26" s="235"/>
      <c r="L26" s="238"/>
      <c r="M26" s="235">
        <f ca="1">IF(NOT(ISERROR(MATCH(L26,_xlfn.ANCHORARRAY(G37),0))),K39&amp;"Por favor no seleccionar los criterios de impacto",L26)</f>
        <v>0</v>
      </c>
      <c r="N26" s="232"/>
      <c r="O26" s="235"/>
      <c r="P26" s="223"/>
      <c r="Q26" s="125">
        <v>6</v>
      </c>
      <c r="R26" s="126"/>
      <c r="S26" s="127" t="str">
        <f t="shared" si="16"/>
        <v/>
      </c>
      <c r="T26" s="128"/>
      <c r="U26" s="128"/>
      <c r="V26" s="129" t="str">
        <f t="shared" si="13"/>
        <v/>
      </c>
      <c r="W26" s="128"/>
      <c r="X26" s="128"/>
      <c r="Y26" s="128"/>
      <c r="Z26" s="130" t="str">
        <f t="shared" si="17"/>
        <v/>
      </c>
      <c r="AA26" s="131" t="str">
        <f t="shared" si="1"/>
        <v/>
      </c>
      <c r="AB26" s="132" t="str">
        <f t="shared" si="14"/>
        <v/>
      </c>
      <c r="AC26" s="131" t="str">
        <f t="shared" si="3"/>
        <v/>
      </c>
      <c r="AD26" s="140" t="str">
        <f t="shared" si="18"/>
        <v/>
      </c>
      <c r="AE26" s="133" t="str">
        <f t="shared" si="19"/>
        <v/>
      </c>
      <c r="AF26" s="134"/>
      <c r="AG26" s="135"/>
      <c r="AH26" s="136"/>
      <c r="AI26" s="137"/>
      <c r="AJ26" s="137"/>
      <c r="AK26" s="135"/>
      <c r="AL26" s="13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151.5" customHeight="1" x14ac:dyDescent="0.3">
      <c r="A27" s="265">
        <v>4</v>
      </c>
      <c r="B27" s="224"/>
      <c r="C27" s="224"/>
      <c r="D27" s="141"/>
      <c r="E27" s="224"/>
      <c r="F27" s="268"/>
      <c r="G27" s="268"/>
      <c r="H27" s="224"/>
      <c r="I27" s="227"/>
      <c r="J27" s="230" t="str">
        <f>IF(I27&lt;=0,"",IF(I27&lt;=2,"Muy Baja",IF(I27&lt;=24,"Baja",IF(I27&lt;=500,"Media",IF(I27&lt;=5000,"Alta","Muy Alta")))))</f>
        <v/>
      </c>
      <c r="K27" s="233" t="str">
        <f>IF(J27="","",IF(J27="Muy Baja",0.2,IF(J27="Baja",0.4,IF(J27="Media",0.6,IF(J27="Alta",0.8,IF(J27="Muy Alta",1,))))))</f>
        <v/>
      </c>
      <c r="L27" s="236"/>
      <c r="M27" s="233">
        <f ca="1">IF(NOT(ISERROR(MATCH(L27,'Tabla Impacto'!$B$221:$B$223,0))),'Tabla Impacto'!$F$223&amp;"Por favor no seleccionar los criterios de impacto(Afectación Económica o presupuestal y Pérdida Reputacional)",L27)</f>
        <v>0</v>
      </c>
      <c r="N27" s="230" t="str">
        <f ca="1">IF(OR(M27='Tabla Impacto'!$C$11,M27='Tabla Impacto'!$D$11),"Leve",IF(OR(M27='Tabla Impacto'!$C$12,M27='Tabla Impacto'!$D$12),"Menor",IF(OR(M27='Tabla Impacto'!$C$13,M27='Tabla Impacto'!$D$13),"Moderado",IF(OR(M27='Tabla Impacto'!$C$14,M27='Tabla Impacto'!$D$14),"Mayor",IF(OR(M27='Tabla Impacto'!$C$15,M27='Tabla Impacto'!$D$15),"Catastrófico","")))))</f>
        <v/>
      </c>
      <c r="O27" s="233" t="str">
        <f ca="1">IF(N27="","",IF(N27="Leve",0.2,IF(N27="Menor",0.4,IF(N27="Moderado",0.6,IF(N27="Mayor",0.8,IF(N27="Catastrófico",1,))))))</f>
        <v/>
      </c>
      <c r="P27" s="221" t="str">
        <f ca="1">IF(OR(AND(J27="Muy Baja",N27="Leve"),AND(J27="Muy Baja",N27="Menor"),AND(J27="Baja",N27="Leve")),"Bajo",IF(OR(AND(J27="Muy baja",N27="Moderado"),AND(J27="Baja",N27="Menor"),AND(J27="Baja",N27="Moderado"),AND(J27="Media",N27="Leve"),AND(J27="Media",N27="Menor"),AND(J27="Media",N27="Moderado"),AND(J27="Alta",N27="Leve"),AND(J27="Alta",N27="Menor")),"Moderado",IF(OR(AND(J27="Muy Baja",N27="Mayor"),AND(J27="Baja",N27="Mayor"),AND(J27="Media",N27="Mayor"),AND(J27="Alta",N27="Moderado"),AND(J27="Alta",N27="Mayor"),AND(J27="Muy Alta",N27="Leve"),AND(J27="Muy Alta",N27="Menor"),AND(J27="Muy Alta",N27="Moderado"),AND(J27="Muy Alta",N27="Mayor")),"Alto",IF(OR(AND(J27="Muy Baja",N27="Catastrófico"),AND(J27="Baja",N27="Catastrófico"),AND(J27="Media",N27="Catastrófico"),AND(J27="Alta",N27="Catastrófico"),AND(J27="Muy Alta",N27="Catastrófico")),"Extremo",""))))</f>
        <v/>
      </c>
      <c r="Q27" s="125">
        <v>1</v>
      </c>
      <c r="R27" s="126"/>
      <c r="S27" s="127" t="str">
        <f>IF(OR(T27="Preventivo",T27="Detectivo"),"Probabilidad",IF(T27="Correctivo","Impacto",""))</f>
        <v/>
      </c>
      <c r="T27" s="128"/>
      <c r="U27" s="128"/>
      <c r="V27" s="129" t="str">
        <f>IF(AND(T27="Preventivo",U27="Automático"),"50%",IF(AND(T27="Preventivo",U27="Manual"),"40%",IF(AND(T27="Detectivo",U27="Automático"),"40%",IF(AND(T27="Detectivo",U27="Manual"),"30%",IF(AND(T27="Correctivo",U27="Automático"),"35%",IF(AND(T27="Correctivo",U27="Manual"),"25%",""))))))</f>
        <v/>
      </c>
      <c r="W27" s="128"/>
      <c r="X27" s="128"/>
      <c r="Y27" s="128"/>
      <c r="Z27" s="130" t="str">
        <f>IFERROR(IF(S27="Probabilidad",(K27-(+K27*V27)),IF(S27="Impacto",K27,"")),"")</f>
        <v/>
      </c>
      <c r="AA27" s="131" t="str">
        <f>IFERROR(IF(Z27="","",IF(Z27&lt;=0.2,"Muy Baja",IF(Z27&lt;=0.4,"Baja",IF(Z27&lt;=0.6,"Media",IF(Z27&lt;=0.8,"Alta","Muy Alta"))))),"")</f>
        <v/>
      </c>
      <c r="AB27" s="132" t="str">
        <f>+Z27</f>
        <v/>
      </c>
      <c r="AC27" s="131" t="str">
        <f>IFERROR(IF(AD27="","",IF(AD27&lt;=0.2,"Leve",IF(AD27&lt;=0.4,"Menor",IF(AD27&lt;=0.6,"Moderado",IF(AD27&lt;=0.8,"Mayor","Catastrófico"))))),"")</f>
        <v/>
      </c>
      <c r="AD27" s="140" t="str">
        <f>IFERROR(IF(S27="Impacto",(O27-(+O27*V27)),IF(S27="Probabilidad",O27,"")),"")</f>
        <v/>
      </c>
      <c r="AE27" s="133" t="str">
        <f>IFERROR(IF(OR(AND(AA27="Muy Baja",AC27="Leve"),AND(AA27="Muy Baja",AC27="Menor"),AND(AA27="Baja",AC27="Leve")),"Bajo",IF(OR(AND(AA27="Muy baja",AC27="Moderado"),AND(AA27="Baja",AC27="Menor"),AND(AA27="Baja",AC27="Moderado"),AND(AA27="Media",AC27="Leve"),AND(AA27="Media",AC27="Menor"),AND(AA27="Media",AC27="Moderado"),AND(AA27="Alta",AC27="Leve"),AND(AA27="Alta",AC27="Menor")),"Moderado",IF(OR(AND(AA27="Muy Baja",AC27="Mayor"),AND(AA27="Baja",AC27="Mayor"),AND(AA27="Media",AC27="Mayor"),AND(AA27="Alta",AC27="Moderado"),AND(AA27="Alta",AC27="Mayor"),AND(AA27="Muy Alta",AC27="Leve"),AND(AA27="Muy Alta",AC27="Menor"),AND(AA27="Muy Alta",AC27="Moderado"),AND(AA27="Muy Alta",AC27="Mayor")),"Alto",IF(OR(AND(AA27="Muy Baja",AC27="Catastrófico"),AND(AA27="Baja",AC27="Catastrófico"),AND(AA27="Media",AC27="Catastrófico"),AND(AA27="Alta",AC27="Catastrófico"),AND(AA27="Muy Alta",AC27="Catastrófico")),"Extremo","")))),"")</f>
        <v/>
      </c>
      <c r="AF27" s="134"/>
      <c r="AG27" s="135"/>
      <c r="AH27" s="136"/>
      <c r="AI27" s="137"/>
      <c r="AJ27" s="137"/>
      <c r="AK27" s="135"/>
      <c r="AL27" s="13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151.5" customHeight="1" x14ac:dyDescent="0.3">
      <c r="A28" s="266"/>
      <c r="B28" s="225"/>
      <c r="C28" s="225"/>
      <c r="D28" s="142"/>
      <c r="E28" s="225"/>
      <c r="F28" s="269"/>
      <c r="G28" s="269"/>
      <c r="H28" s="225"/>
      <c r="I28" s="228"/>
      <c r="J28" s="231"/>
      <c r="K28" s="234"/>
      <c r="L28" s="237"/>
      <c r="M28" s="234">
        <f ca="1">IF(NOT(ISERROR(MATCH(L28,_xlfn.ANCHORARRAY(G39),0))),K41&amp;"Por favor no seleccionar los criterios de impacto",L28)</f>
        <v>0</v>
      </c>
      <c r="N28" s="231"/>
      <c r="O28" s="234"/>
      <c r="P28" s="222"/>
      <c r="Q28" s="125">
        <v>2</v>
      </c>
      <c r="R28" s="126"/>
      <c r="S28" s="127" t="str">
        <f>IF(OR(T28="Preventivo",T28="Detectivo"),"Probabilidad",IF(T28="Correctivo","Impacto",""))</f>
        <v/>
      </c>
      <c r="T28" s="128"/>
      <c r="U28" s="128"/>
      <c r="V28" s="129" t="str">
        <f t="shared" ref="V28:V32" si="20">IF(AND(T28="Preventivo",U28="Automático"),"50%",IF(AND(T28="Preventivo",U28="Manual"),"40%",IF(AND(T28="Detectivo",U28="Automático"),"40%",IF(AND(T28="Detectivo",U28="Manual"),"30%",IF(AND(T28="Correctivo",U28="Automático"),"35%",IF(AND(T28="Correctivo",U28="Manual"),"25%",""))))))</f>
        <v/>
      </c>
      <c r="W28" s="128"/>
      <c r="X28" s="128"/>
      <c r="Y28" s="128"/>
      <c r="Z28" s="130" t="str">
        <f>IFERROR(IF(AND(S27="Probabilidad",S28="Probabilidad"),(AB27-(+AB27*V28)),IF(S28="Probabilidad",(K27-(+K27*V28)),IF(S28="Impacto",AB27,""))),"")</f>
        <v/>
      </c>
      <c r="AA28" s="131" t="str">
        <f t="shared" si="1"/>
        <v/>
      </c>
      <c r="AB28" s="132" t="str">
        <f t="shared" ref="AB28:AB32" si="21">+Z28</f>
        <v/>
      </c>
      <c r="AC28" s="131" t="str">
        <f t="shared" si="3"/>
        <v/>
      </c>
      <c r="AD28" s="140" t="str">
        <f>IFERROR(IF(AND(S27="Impacto",S28="Impacto"),(AD27-(+AD27*V28)),IF(S28="Impacto",(O27-(+O27*V28)),IF(S28="Probabilidad",AD27,""))),"")</f>
        <v/>
      </c>
      <c r="AE28" s="133" t="str">
        <f t="shared" ref="AE28:AE29" si="22">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34"/>
      <c r="AG28" s="135"/>
      <c r="AH28" s="136"/>
      <c r="AI28" s="137"/>
      <c r="AJ28" s="137"/>
      <c r="AK28" s="135"/>
      <c r="AL28" s="13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151.5" customHeight="1" x14ac:dyDescent="0.3">
      <c r="A29" s="266"/>
      <c r="B29" s="225"/>
      <c r="C29" s="225"/>
      <c r="D29" s="142"/>
      <c r="E29" s="225"/>
      <c r="F29" s="269"/>
      <c r="G29" s="269"/>
      <c r="H29" s="225"/>
      <c r="I29" s="228"/>
      <c r="J29" s="231"/>
      <c r="K29" s="234"/>
      <c r="L29" s="237"/>
      <c r="M29" s="234">
        <f ca="1">IF(NOT(ISERROR(MATCH(L29,_xlfn.ANCHORARRAY(G40),0))),K42&amp;"Por favor no seleccionar los criterios de impacto",L29)</f>
        <v>0</v>
      </c>
      <c r="N29" s="231"/>
      <c r="O29" s="234"/>
      <c r="P29" s="222"/>
      <c r="Q29" s="125">
        <v>3</v>
      </c>
      <c r="R29" s="138"/>
      <c r="S29" s="127" t="str">
        <f>IF(OR(T29="Preventivo",T29="Detectivo"),"Probabilidad",IF(T29="Correctivo","Impacto",""))</f>
        <v/>
      </c>
      <c r="T29" s="128"/>
      <c r="U29" s="128"/>
      <c r="V29" s="129" t="str">
        <f t="shared" si="20"/>
        <v/>
      </c>
      <c r="W29" s="128"/>
      <c r="X29" s="128"/>
      <c r="Y29" s="128"/>
      <c r="Z29" s="130" t="str">
        <f>IFERROR(IF(AND(S28="Probabilidad",S29="Probabilidad"),(AB28-(+AB28*V29)),IF(AND(S28="Impacto",S29="Probabilidad"),(AB27-(+AB27*V29)),IF(S29="Impacto",AB28,""))),"")</f>
        <v/>
      </c>
      <c r="AA29" s="131" t="str">
        <f t="shared" si="1"/>
        <v/>
      </c>
      <c r="AB29" s="132" t="str">
        <f t="shared" si="21"/>
        <v/>
      </c>
      <c r="AC29" s="131" t="str">
        <f t="shared" si="3"/>
        <v/>
      </c>
      <c r="AD29" s="140" t="str">
        <f>IFERROR(IF(AND(S28="Impacto",S29="Impacto"),(AD28-(+AD28*V29)),IF(AND(S28="Probabilidad",S29="Impacto"),(AD27-(+AD27*V29)),IF(S29="Probabilidad",AD28,""))),"")</f>
        <v/>
      </c>
      <c r="AE29" s="133" t="str">
        <f t="shared" si="22"/>
        <v/>
      </c>
      <c r="AF29" s="134"/>
      <c r="AG29" s="135"/>
      <c r="AH29" s="136"/>
      <c r="AI29" s="137"/>
      <c r="AJ29" s="137"/>
      <c r="AK29" s="135"/>
      <c r="AL29" s="13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151.5" customHeight="1" x14ac:dyDescent="0.3">
      <c r="A30" s="266"/>
      <c r="B30" s="225"/>
      <c r="C30" s="225"/>
      <c r="D30" s="142"/>
      <c r="E30" s="225"/>
      <c r="F30" s="269"/>
      <c r="G30" s="269"/>
      <c r="H30" s="225"/>
      <c r="I30" s="228"/>
      <c r="J30" s="231"/>
      <c r="K30" s="234"/>
      <c r="L30" s="237"/>
      <c r="M30" s="234">
        <f ca="1">IF(NOT(ISERROR(MATCH(L30,_xlfn.ANCHORARRAY(G41),0))),K43&amp;"Por favor no seleccionar los criterios de impacto",L30)</f>
        <v>0</v>
      </c>
      <c r="N30" s="231"/>
      <c r="O30" s="234"/>
      <c r="P30" s="222"/>
      <c r="Q30" s="125">
        <v>4</v>
      </c>
      <c r="R30" s="126"/>
      <c r="S30" s="127" t="str">
        <f t="shared" ref="S30:S32" si="23">IF(OR(T30="Preventivo",T30="Detectivo"),"Probabilidad",IF(T30="Correctivo","Impacto",""))</f>
        <v/>
      </c>
      <c r="T30" s="128"/>
      <c r="U30" s="128"/>
      <c r="V30" s="129" t="str">
        <f t="shared" si="20"/>
        <v/>
      </c>
      <c r="W30" s="128"/>
      <c r="X30" s="128"/>
      <c r="Y30" s="128"/>
      <c r="Z30" s="130" t="str">
        <f t="shared" ref="Z30:Z32" si="24">IFERROR(IF(AND(S29="Probabilidad",S30="Probabilidad"),(AB29-(+AB29*V30)),IF(AND(S29="Impacto",S30="Probabilidad"),(AB28-(+AB28*V30)),IF(S30="Impacto",AB29,""))),"")</f>
        <v/>
      </c>
      <c r="AA30" s="131" t="str">
        <f t="shared" si="1"/>
        <v/>
      </c>
      <c r="AB30" s="132" t="str">
        <f t="shared" si="21"/>
        <v/>
      </c>
      <c r="AC30" s="131" t="str">
        <f t="shared" si="3"/>
        <v/>
      </c>
      <c r="AD30" s="140" t="str">
        <f t="shared" ref="AD30:AD32" si="25">IFERROR(IF(AND(S29="Impacto",S30="Impacto"),(AD29-(+AD29*V30)),IF(AND(S29="Probabilidad",S30="Impacto"),(AD28-(+AD28*V30)),IF(S30="Probabilidad",AD29,""))),"")</f>
        <v/>
      </c>
      <c r="AE30" s="133" t="str">
        <f>IFERROR(IF(OR(AND(AA30="Muy Baja",AC30="Leve"),AND(AA30="Muy Baja",AC30="Menor"),AND(AA30="Baja",AC30="Leve")),"Bajo",IF(OR(AND(AA30="Muy baja",AC30="Moderado"),AND(AA30="Baja",AC30="Menor"),AND(AA30="Baja",AC30="Moderado"),AND(AA30="Media",AC30="Leve"),AND(AA30="Media",AC30="Menor"),AND(AA30="Media",AC30="Moderado"),AND(AA30="Alta",AC30="Leve"),AND(AA30="Alta",AC30="Menor")),"Moderado",IF(OR(AND(AA30="Muy Baja",AC30="Mayor"),AND(AA30="Baja",AC30="Mayor"),AND(AA30="Media",AC30="Mayor"),AND(AA30="Alta",AC30="Moderado"),AND(AA30="Alta",AC30="Mayor"),AND(AA30="Muy Alta",AC30="Leve"),AND(AA30="Muy Alta",AC30="Menor"),AND(AA30="Muy Alta",AC30="Moderado"),AND(AA30="Muy Alta",AC30="Mayor")),"Alto",IF(OR(AND(AA30="Muy Baja",AC30="Catastrófico"),AND(AA30="Baja",AC30="Catastrófico"),AND(AA30="Media",AC30="Catastrófico"),AND(AA30="Alta",AC30="Catastrófico"),AND(AA30="Muy Alta",AC30="Catastrófico")),"Extremo","")))),"")</f>
        <v/>
      </c>
      <c r="AF30" s="134"/>
      <c r="AG30" s="135"/>
      <c r="AH30" s="136"/>
      <c r="AI30" s="137"/>
      <c r="AJ30" s="137"/>
      <c r="AK30" s="135"/>
      <c r="AL30" s="13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151.5" customHeight="1" x14ac:dyDescent="0.3">
      <c r="A31" s="266"/>
      <c r="B31" s="225"/>
      <c r="C31" s="225"/>
      <c r="D31" s="142"/>
      <c r="E31" s="225"/>
      <c r="F31" s="269"/>
      <c r="G31" s="269"/>
      <c r="H31" s="225"/>
      <c r="I31" s="228"/>
      <c r="J31" s="231"/>
      <c r="K31" s="234"/>
      <c r="L31" s="237"/>
      <c r="M31" s="234">
        <f ca="1">IF(NOT(ISERROR(MATCH(L31,_xlfn.ANCHORARRAY(G42),0))),K44&amp;"Por favor no seleccionar los criterios de impacto",L31)</f>
        <v>0</v>
      </c>
      <c r="N31" s="231"/>
      <c r="O31" s="234"/>
      <c r="P31" s="222"/>
      <c r="Q31" s="125">
        <v>5</v>
      </c>
      <c r="R31" s="126"/>
      <c r="S31" s="127" t="str">
        <f t="shared" si="23"/>
        <v/>
      </c>
      <c r="T31" s="128"/>
      <c r="U31" s="128"/>
      <c r="V31" s="129" t="str">
        <f t="shared" si="20"/>
        <v/>
      </c>
      <c r="W31" s="128"/>
      <c r="X31" s="128"/>
      <c r="Y31" s="128"/>
      <c r="Z31" s="139" t="str">
        <f t="shared" si="24"/>
        <v/>
      </c>
      <c r="AA31" s="131" t="str">
        <f>IFERROR(IF(Z31="","",IF(Z31&lt;=0.2,"Muy Baja",IF(Z31&lt;=0.4,"Baja",IF(Z31&lt;=0.6,"Media",IF(Z31&lt;=0.8,"Alta","Muy Alta"))))),"")</f>
        <v/>
      </c>
      <c r="AB31" s="132" t="str">
        <f t="shared" si="21"/>
        <v/>
      </c>
      <c r="AC31" s="131" t="str">
        <f t="shared" si="3"/>
        <v/>
      </c>
      <c r="AD31" s="140" t="str">
        <f t="shared" si="25"/>
        <v/>
      </c>
      <c r="AE31" s="133" t="str">
        <f t="shared" ref="AE31:AE32" si="26">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134"/>
      <c r="AG31" s="135"/>
      <c r="AH31" s="136"/>
      <c r="AI31" s="137"/>
      <c r="AJ31" s="137"/>
      <c r="AK31" s="135"/>
      <c r="AL31" s="13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151.5" customHeight="1" x14ac:dyDescent="0.3">
      <c r="A32" s="267"/>
      <c r="B32" s="226"/>
      <c r="C32" s="226"/>
      <c r="D32" s="143"/>
      <c r="E32" s="226"/>
      <c r="F32" s="270"/>
      <c r="G32" s="270"/>
      <c r="H32" s="226"/>
      <c r="I32" s="229"/>
      <c r="J32" s="232"/>
      <c r="K32" s="235"/>
      <c r="L32" s="238"/>
      <c r="M32" s="235">
        <f ca="1">IF(NOT(ISERROR(MATCH(L32,_xlfn.ANCHORARRAY(G43),0))),K45&amp;"Por favor no seleccionar los criterios de impacto",L32)</f>
        <v>0</v>
      </c>
      <c r="N32" s="232"/>
      <c r="O32" s="235"/>
      <c r="P32" s="223"/>
      <c r="Q32" s="125">
        <v>6</v>
      </c>
      <c r="R32" s="126"/>
      <c r="S32" s="127" t="str">
        <f t="shared" si="23"/>
        <v/>
      </c>
      <c r="T32" s="128"/>
      <c r="U32" s="128"/>
      <c r="V32" s="129" t="str">
        <f t="shared" si="20"/>
        <v/>
      </c>
      <c r="W32" s="128"/>
      <c r="X32" s="128"/>
      <c r="Y32" s="128"/>
      <c r="Z32" s="130" t="str">
        <f t="shared" si="24"/>
        <v/>
      </c>
      <c r="AA32" s="131" t="str">
        <f t="shared" si="1"/>
        <v/>
      </c>
      <c r="AB32" s="132" t="str">
        <f t="shared" si="21"/>
        <v/>
      </c>
      <c r="AC32" s="131" t="str">
        <f t="shared" si="3"/>
        <v/>
      </c>
      <c r="AD32" s="140" t="str">
        <f t="shared" si="25"/>
        <v/>
      </c>
      <c r="AE32" s="133" t="str">
        <f t="shared" si="26"/>
        <v/>
      </c>
      <c r="AF32" s="134"/>
      <c r="AG32" s="135"/>
      <c r="AH32" s="136"/>
      <c r="AI32" s="137"/>
      <c r="AJ32" s="137"/>
      <c r="AK32" s="135"/>
      <c r="AL32" s="13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151.5" customHeight="1" x14ac:dyDescent="0.3">
      <c r="A33" s="265">
        <v>5</v>
      </c>
      <c r="B33" s="224"/>
      <c r="C33" s="224"/>
      <c r="D33" s="141"/>
      <c r="E33" s="224"/>
      <c r="F33" s="268"/>
      <c r="G33" s="268"/>
      <c r="H33" s="224"/>
      <c r="I33" s="227"/>
      <c r="J33" s="230" t="str">
        <f>IF(I33&lt;=0,"",IF(I33&lt;=2,"Muy Baja",IF(I33&lt;=24,"Baja",IF(I33&lt;=500,"Media",IF(I33&lt;=5000,"Alta","Muy Alta")))))</f>
        <v/>
      </c>
      <c r="K33" s="233" t="str">
        <f>IF(J33="","",IF(J33="Muy Baja",0.2,IF(J33="Baja",0.4,IF(J33="Media",0.6,IF(J33="Alta",0.8,IF(J33="Muy Alta",1,))))))</f>
        <v/>
      </c>
      <c r="L33" s="236"/>
      <c r="M33" s="233">
        <f ca="1">IF(NOT(ISERROR(MATCH(L33,'Tabla Impacto'!$B$221:$B$223,0))),'Tabla Impacto'!$F$223&amp;"Por favor no seleccionar los criterios de impacto(Afectación Económica o presupuestal y Pérdida Reputacional)",L33)</f>
        <v>0</v>
      </c>
      <c r="N33" s="230" t="str">
        <f ca="1">IF(OR(M33='Tabla Impacto'!$C$11,M33='Tabla Impacto'!$D$11),"Leve",IF(OR(M33='Tabla Impacto'!$C$12,M33='Tabla Impacto'!$D$12),"Menor",IF(OR(M33='Tabla Impacto'!$C$13,M33='Tabla Impacto'!$D$13),"Moderado",IF(OR(M33='Tabla Impacto'!$C$14,M33='Tabla Impacto'!$D$14),"Mayor",IF(OR(M33='Tabla Impacto'!$C$15,M33='Tabla Impacto'!$D$15),"Catastrófico","")))))</f>
        <v/>
      </c>
      <c r="O33" s="233" t="str">
        <f ca="1">IF(N33="","",IF(N33="Leve",0.2,IF(N33="Menor",0.4,IF(N33="Moderado",0.6,IF(N33="Mayor",0.8,IF(N33="Catastrófico",1,))))))</f>
        <v/>
      </c>
      <c r="P33" s="221" t="str">
        <f ca="1">IF(OR(AND(J33="Muy Baja",N33="Leve"),AND(J33="Muy Baja",N33="Menor"),AND(J33="Baja",N33="Leve")),"Bajo",IF(OR(AND(J33="Muy baja",N33="Moderado"),AND(J33="Baja",N33="Menor"),AND(J33="Baja",N33="Moderado"),AND(J33="Media",N33="Leve"),AND(J33="Media",N33="Menor"),AND(J33="Media",N33="Moderado"),AND(J33="Alta",N33="Leve"),AND(J33="Alta",N33="Menor")),"Moderado",IF(OR(AND(J33="Muy Baja",N33="Mayor"),AND(J33="Baja",N33="Mayor"),AND(J33="Media",N33="Mayor"),AND(J33="Alta",N33="Moderado"),AND(J33="Alta",N33="Mayor"),AND(J33="Muy Alta",N33="Leve"),AND(J33="Muy Alta",N33="Menor"),AND(J33="Muy Alta",N33="Moderado"),AND(J33="Muy Alta",N33="Mayor")),"Alto",IF(OR(AND(J33="Muy Baja",N33="Catastrófico"),AND(J33="Baja",N33="Catastrófico"),AND(J33="Media",N33="Catastrófico"),AND(J33="Alta",N33="Catastrófico"),AND(J33="Muy Alta",N33="Catastrófico")),"Extremo",""))))</f>
        <v/>
      </c>
      <c r="Q33" s="125">
        <v>1</v>
      </c>
      <c r="R33" s="126"/>
      <c r="S33" s="127" t="str">
        <f>IF(OR(T33="Preventivo",T33="Detectivo"),"Probabilidad",IF(T33="Correctivo","Impacto",""))</f>
        <v/>
      </c>
      <c r="T33" s="128"/>
      <c r="U33" s="128"/>
      <c r="V33" s="129" t="str">
        <f>IF(AND(T33="Preventivo",U33="Automático"),"50%",IF(AND(T33="Preventivo",U33="Manual"),"40%",IF(AND(T33="Detectivo",U33="Automático"),"40%",IF(AND(T33="Detectivo",U33="Manual"),"30%",IF(AND(T33="Correctivo",U33="Automático"),"35%",IF(AND(T33="Correctivo",U33="Manual"),"25%",""))))))</f>
        <v/>
      </c>
      <c r="W33" s="128"/>
      <c r="X33" s="128"/>
      <c r="Y33" s="128"/>
      <c r="Z33" s="130" t="str">
        <f>IFERROR(IF(S33="Probabilidad",(K33-(+K33*V33)),IF(S33="Impacto",K33,"")),"")</f>
        <v/>
      </c>
      <c r="AA33" s="131" t="str">
        <f>IFERROR(IF(Z33="","",IF(Z33&lt;=0.2,"Muy Baja",IF(Z33&lt;=0.4,"Baja",IF(Z33&lt;=0.6,"Media",IF(Z33&lt;=0.8,"Alta","Muy Alta"))))),"")</f>
        <v/>
      </c>
      <c r="AB33" s="132" t="str">
        <f>+Z33</f>
        <v/>
      </c>
      <c r="AC33" s="131" t="str">
        <f>IFERROR(IF(AD33="","",IF(AD33&lt;=0.2,"Leve",IF(AD33&lt;=0.4,"Menor",IF(AD33&lt;=0.6,"Moderado",IF(AD33&lt;=0.8,"Mayor","Catastrófico"))))),"")</f>
        <v/>
      </c>
      <c r="AD33" s="140" t="str">
        <f>IFERROR(IF(S33="Impacto",(O33-(+O33*V33)),IF(S33="Probabilidad",O33,"")),"")</f>
        <v/>
      </c>
      <c r="AE33" s="133" t="str">
        <f>IFERROR(IF(OR(AND(AA33="Muy Baja",AC33="Leve"),AND(AA33="Muy Baja",AC33="Menor"),AND(AA33="Baja",AC33="Leve")),"Bajo",IF(OR(AND(AA33="Muy baja",AC33="Moderado"),AND(AA33="Baja",AC33="Menor"),AND(AA33="Baja",AC33="Moderado"),AND(AA33="Media",AC33="Leve"),AND(AA33="Media",AC33="Menor"),AND(AA33="Media",AC33="Moderado"),AND(AA33="Alta",AC33="Leve"),AND(AA33="Alta",AC33="Menor")),"Moderado",IF(OR(AND(AA33="Muy Baja",AC33="Mayor"),AND(AA33="Baja",AC33="Mayor"),AND(AA33="Media",AC33="Mayor"),AND(AA33="Alta",AC33="Moderado"),AND(AA33="Alta",AC33="Mayor"),AND(AA33="Muy Alta",AC33="Leve"),AND(AA33="Muy Alta",AC33="Menor"),AND(AA33="Muy Alta",AC33="Moderado"),AND(AA33="Muy Alta",AC33="Mayor")),"Alto",IF(OR(AND(AA33="Muy Baja",AC33="Catastrófico"),AND(AA33="Baja",AC33="Catastrófico"),AND(AA33="Media",AC33="Catastrófico"),AND(AA33="Alta",AC33="Catastrófico"),AND(AA33="Muy Alta",AC33="Catastrófico")),"Extremo","")))),"")</f>
        <v/>
      </c>
      <c r="AF33" s="134"/>
      <c r="AG33" s="135"/>
      <c r="AH33" s="136"/>
      <c r="AI33" s="137"/>
      <c r="AJ33" s="137"/>
      <c r="AK33" s="135"/>
      <c r="AL33" s="13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151.5" customHeight="1" x14ac:dyDescent="0.3">
      <c r="A34" s="266"/>
      <c r="B34" s="225"/>
      <c r="C34" s="225"/>
      <c r="D34" s="142"/>
      <c r="E34" s="225"/>
      <c r="F34" s="269"/>
      <c r="G34" s="269"/>
      <c r="H34" s="225"/>
      <c r="I34" s="228"/>
      <c r="J34" s="231"/>
      <c r="K34" s="234"/>
      <c r="L34" s="237"/>
      <c r="M34" s="234">
        <f ca="1">IF(NOT(ISERROR(MATCH(L34,_xlfn.ANCHORARRAY(G45),0))),K47&amp;"Por favor no seleccionar los criterios de impacto",L34)</f>
        <v>0</v>
      </c>
      <c r="N34" s="231"/>
      <c r="O34" s="234"/>
      <c r="P34" s="222"/>
      <c r="Q34" s="125">
        <v>2</v>
      </c>
      <c r="R34" s="126"/>
      <c r="S34" s="127" t="str">
        <f>IF(OR(T34="Preventivo",T34="Detectivo"),"Probabilidad",IF(T34="Correctivo","Impacto",""))</f>
        <v/>
      </c>
      <c r="T34" s="128"/>
      <c r="U34" s="128"/>
      <c r="V34" s="129" t="str">
        <f t="shared" ref="V34:V38" si="27">IF(AND(T34="Preventivo",U34="Automático"),"50%",IF(AND(T34="Preventivo",U34="Manual"),"40%",IF(AND(T34="Detectivo",U34="Automático"),"40%",IF(AND(T34="Detectivo",U34="Manual"),"30%",IF(AND(T34="Correctivo",U34="Automático"),"35%",IF(AND(T34="Correctivo",U34="Manual"),"25%",""))))))</f>
        <v/>
      </c>
      <c r="W34" s="128"/>
      <c r="X34" s="128"/>
      <c r="Y34" s="128"/>
      <c r="Z34" s="130" t="str">
        <f>IFERROR(IF(AND(S33="Probabilidad",S34="Probabilidad"),(AB33-(+AB33*V34)),IF(S34="Probabilidad",(K33-(+K33*V34)),IF(S34="Impacto",AB33,""))),"")</f>
        <v/>
      </c>
      <c r="AA34" s="131" t="str">
        <f t="shared" si="1"/>
        <v/>
      </c>
      <c r="AB34" s="132" t="str">
        <f t="shared" ref="AB34:AB38" si="28">+Z34</f>
        <v/>
      </c>
      <c r="AC34" s="131" t="str">
        <f t="shared" si="3"/>
        <v/>
      </c>
      <c r="AD34" s="140" t="str">
        <f>IFERROR(IF(AND(S33="Impacto",S34="Impacto"),(AD33-(+AD33*V34)),IF(S34="Impacto",(O33-(+O33*V34)),IF(S34="Probabilidad",AD33,""))),"")</f>
        <v/>
      </c>
      <c r="AE34" s="133" t="str">
        <f t="shared" ref="AE34:AE35" si="29">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34"/>
      <c r="AG34" s="135"/>
      <c r="AH34" s="136"/>
      <c r="AI34" s="137"/>
      <c r="AJ34" s="137"/>
      <c r="AK34" s="135"/>
      <c r="AL34" s="13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151.5" customHeight="1" x14ac:dyDescent="0.3">
      <c r="A35" s="266"/>
      <c r="B35" s="225"/>
      <c r="C35" s="225"/>
      <c r="D35" s="142"/>
      <c r="E35" s="225"/>
      <c r="F35" s="269"/>
      <c r="G35" s="269"/>
      <c r="H35" s="225"/>
      <c r="I35" s="228"/>
      <c r="J35" s="231"/>
      <c r="K35" s="234"/>
      <c r="L35" s="237"/>
      <c r="M35" s="234">
        <f ca="1">IF(NOT(ISERROR(MATCH(L35,_xlfn.ANCHORARRAY(G46),0))),K48&amp;"Por favor no seleccionar los criterios de impacto",L35)</f>
        <v>0</v>
      </c>
      <c r="N35" s="231"/>
      <c r="O35" s="234"/>
      <c r="P35" s="222"/>
      <c r="Q35" s="125">
        <v>3</v>
      </c>
      <c r="R35" s="138"/>
      <c r="S35" s="127" t="str">
        <f>IF(OR(T35="Preventivo",T35="Detectivo"),"Probabilidad",IF(T35="Correctivo","Impacto",""))</f>
        <v/>
      </c>
      <c r="T35" s="128"/>
      <c r="U35" s="128"/>
      <c r="V35" s="129" t="str">
        <f t="shared" si="27"/>
        <v/>
      </c>
      <c r="W35" s="128"/>
      <c r="X35" s="128"/>
      <c r="Y35" s="128"/>
      <c r="Z35" s="130" t="str">
        <f>IFERROR(IF(AND(S34="Probabilidad",S35="Probabilidad"),(AB34-(+AB34*V35)),IF(AND(S34="Impacto",S35="Probabilidad"),(AB33-(+AB33*V35)),IF(S35="Impacto",AB34,""))),"")</f>
        <v/>
      </c>
      <c r="AA35" s="131" t="str">
        <f t="shared" si="1"/>
        <v/>
      </c>
      <c r="AB35" s="132" t="str">
        <f t="shared" si="28"/>
        <v/>
      </c>
      <c r="AC35" s="131" t="str">
        <f t="shared" si="3"/>
        <v/>
      </c>
      <c r="AD35" s="140" t="str">
        <f>IFERROR(IF(AND(S34="Impacto",S35="Impacto"),(AD34-(+AD34*V35)),IF(AND(S34="Probabilidad",S35="Impacto"),(AD33-(+AD33*V35)),IF(S35="Probabilidad",AD34,""))),"")</f>
        <v/>
      </c>
      <c r="AE35" s="133" t="str">
        <f t="shared" si="29"/>
        <v/>
      </c>
      <c r="AF35" s="134"/>
      <c r="AG35" s="135"/>
      <c r="AH35" s="136"/>
      <c r="AI35" s="137"/>
      <c r="AJ35" s="137"/>
      <c r="AK35" s="135"/>
      <c r="AL35" s="13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151.5" customHeight="1" x14ac:dyDescent="0.3">
      <c r="A36" s="266"/>
      <c r="B36" s="225"/>
      <c r="C36" s="225"/>
      <c r="D36" s="142"/>
      <c r="E36" s="225"/>
      <c r="F36" s="269"/>
      <c r="G36" s="269"/>
      <c r="H36" s="225"/>
      <c r="I36" s="228"/>
      <c r="J36" s="231"/>
      <c r="K36" s="234"/>
      <c r="L36" s="237"/>
      <c r="M36" s="234">
        <f ca="1">IF(NOT(ISERROR(MATCH(L36,_xlfn.ANCHORARRAY(G47),0))),K49&amp;"Por favor no seleccionar los criterios de impacto",L36)</f>
        <v>0</v>
      </c>
      <c r="N36" s="231"/>
      <c r="O36" s="234"/>
      <c r="P36" s="222"/>
      <c r="Q36" s="125">
        <v>4</v>
      </c>
      <c r="R36" s="126"/>
      <c r="S36" s="127" t="str">
        <f t="shared" ref="S36:S38" si="30">IF(OR(T36="Preventivo",T36="Detectivo"),"Probabilidad",IF(T36="Correctivo","Impacto",""))</f>
        <v/>
      </c>
      <c r="T36" s="128"/>
      <c r="U36" s="128"/>
      <c r="V36" s="129" t="str">
        <f t="shared" si="27"/>
        <v/>
      </c>
      <c r="W36" s="128"/>
      <c r="X36" s="128"/>
      <c r="Y36" s="128"/>
      <c r="Z36" s="130" t="str">
        <f t="shared" ref="Z36:Z38" si="31">IFERROR(IF(AND(S35="Probabilidad",S36="Probabilidad"),(AB35-(+AB35*V36)),IF(AND(S35="Impacto",S36="Probabilidad"),(AB34-(+AB34*V36)),IF(S36="Impacto",AB35,""))),"")</f>
        <v/>
      </c>
      <c r="AA36" s="131" t="str">
        <f t="shared" si="1"/>
        <v/>
      </c>
      <c r="AB36" s="132" t="str">
        <f t="shared" si="28"/>
        <v/>
      </c>
      <c r="AC36" s="131" t="str">
        <f t="shared" si="3"/>
        <v/>
      </c>
      <c r="AD36" s="140" t="str">
        <f t="shared" ref="AD36:AD38" si="32">IFERROR(IF(AND(S35="Impacto",S36="Impacto"),(AD35-(+AD35*V36)),IF(AND(S35="Probabilidad",S36="Impacto"),(AD34-(+AD34*V36)),IF(S36="Probabilidad",AD35,""))),"")</f>
        <v/>
      </c>
      <c r="AE36" s="133" t="str">
        <f>IFERROR(IF(OR(AND(AA36="Muy Baja",AC36="Leve"),AND(AA36="Muy Baja",AC36="Menor"),AND(AA36="Baja",AC36="Leve")),"Bajo",IF(OR(AND(AA36="Muy baja",AC36="Moderado"),AND(AA36="Baja",AC36="Menor"),AND(AA36="Baja",AC36="Moderado"),AND(AA36="Media",AC36="Leve"),AND(AA36="Media",AC36="Menor"),AND(AA36="Media",AC36="Moderado"),AND(AA36="Alta",AC36="Leve"),AND(AA36="Alta",AC36="Menor")),"Moderado",IF(OR(AND(AA36="Muy Baja",AC36="Mayor"),AND(AA36="Baja",AC36="Mayor"),AND(AA36="Media",AC36="Mayor"),AND(AA36="Alta",AC36="Moderado"),AND(AA36="Alta",AC36="Mayor"),AND(AA36="Muy Alta",AC36="Leve"),AND(AA36="Muy Alta",AC36="Menor"),AND(AA36="Muy Alta",AC36="Moderado"),AND(AA36="Muy Alta",AC36="Mayor")),"Alto",IF(OR(AND(AA36="Muy Baja",AC36="Catastrófico"),AND(AA36="Baja",AC36="Catastrófico"),AND(AA36="Media",AC36="Catastrófico"),AND(AA36="Alta",AC36="Catastrófico"),AND(AA36="Muy Alta",AC36="Catastrófico")),"Extremo","")))),"")</f>
        <v/>
      </c>
      <c r="AF36" s="134"/>
      <c r="AG36" s="135"/>
      <c r="AH36" s="136"/>
      <c r="AI36" s="137"/>
      <c r="AJ36" s="137"/>
      <c r="AK36" s="135"/>
      <c r="AL36" s="13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151.5" customHeight="1" x14ac:dyDescent="0.3">
      <c r="A37" s="266"/>
      <c r="B37" s="225"/>
      <c r="C37" s="225"/>
      <c r="D37" s="142"/>
      <c r="E37" s="225"/>
      <c r="F37" s="269"/>
      <c r="G37" s="269"/>
      <c r="H37" s="225"/>
      <c r="I37" s="228"/>
      <c r="J37" s="231"/>
      <c r="K37" s="234"/>
      <c r="L37" s="237"/>
      <c r="M37" s="234">
        <f ca="1">IF(NOT(ISERROR(MATCH(L37,_xlfn.ANCHORARRAY(G48),0))),K50&amp;"Por favor no seleccionar los criterios de impacto",L37)</f>
        <v>0</v>
      </c>
      <c r="N37" s="231"/>
      <c r="O37" s="234"/>
      <c r="P37" s="222"/>
      <c r="Q37" s="125">
        <v>5</v>
      </c>
      <c r="R37" s="126"/>
      <c r="S37" s="127" t="str">
        <f t="shared" si="30"/>
        <v/>
      </c>
      <c r="T37" s="128"/>
      <c r="U37" s="128"/>
      <c r="V37" s="129" t="str">
        <f t="shared" si="27"/>
        <v/>
      </c>
      <c r="W37" s="128"/>
      <c r="X37" s="128"/>
      <c r="Y37" s="128"/>
      <c r="Z37" s="130" t="str">
        <f t="shared" si="31"/>
        <v/>
      </c>
      <c r="AA37" s="131" t="str">
        <f t="shared" si="1"/>
        <v/>
      </c>
      <c r="AB37" s="132" t="str">
        <f t="shared" si="28"/>
        <v/>
      </c>
      <c r="AC37" s="131" t="str">
        <f t="shared" si="3"/>
        <v/>
      </c>
      <c r="AD37" s="140" t="str">
        <f t="shared" si="32"/>
        <v/>
      </c>
      <c r="AE37" s="133" t="str">
        <f t="shared" ref="AE37:AE38" si="33">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134"/>
      <c r="AG37" s="135"/>
      <c r="AH37" s="136"/>
      <c r="AI37" s="137"/>
      <c r="AJ37" s="137"/>
      <c r="AK37" s="135"/>
      <c r="AL37" s="13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151.5" customHeight="1" x14ac:dyDescent="0.3">
      <c r="A38" s="267"/>
      <c r="B38" s="226"/>
      <c r="C38" s="226"/>
      <c r="D38" s="143"/>
      <c r="E38" s="226"/>
      <c r="F38" s="270"/>
      <c r="G38" s="270"/>
      <c r="H38" s="226"/>
      <c r="I38" s="229"/>
      <c r="J38" s="232"/>
      <c r="K38" s="235"/>
      <c r="L38" s="238"/>
      <c r="M38" s="235">
        <f ca="1">IF(NOT(ISERROR(MATCH(L38,_xlfn.ANCHORARRAY(G49),0))),K51&amp;"Por favor no seleccionar los criterios de impacto",L38)</f>
        <v>0</v>
      </c>
      <c r="N38" s="232"/>
      <c r="O38" s="235"/>
      <c r="P38" s="223"/>
      <c r="Q38" s="125">
        <v>6</v>
      </c>
      <c r="R38" s="126"/>
      <c r="S38" s="127" t="str">
        <f t="shared" si="30"/>
        <v/>
      </c>
      <c r="T38" s="128"/>
      <c r="U38" s="128"/>
      <c r="V38" s="129" t="str">
        <f t="shared" si="27"/>
        <v/>
      </c>
      <c r="W38" s="128"/>
      <c r="X38" s="128"/>
      <c r="Y38" s="128"/>
      <c r="Z38" s="130" t="str">
        <f t="shared" si="31"/>
        <v/>
      </c>
      <c r="AA38" s="131" t="str">
        <f t="shared" si="1"/>
        <v/>
      </c>
      <c r="AB38" s="132" t="str">
        <f t="shared" si="28"/>
        <v/>
      </c>
      <c r="AC38" s="131" t="str">
        <f t="shared" si="3"/>
        <v/>
      </c>
      <c r="AD38" s="140" t="str">
        <f t="shared" si="32"/>
        <v/>
      </c>
      <c r="AE38" s="133" t="str">
        <f t="shared" si="33"/>
        <v/>
      </c>
      <c r="AF38" s="134"/>
      <c r="AG38" s="135"/>
      <c r="AH38" s="136"/>
      <c r="AI38" s="137"/>
      <c r="AJ38" s="137"/>
      <c r="AK38" s="135"/>
      <c r="AL38" s="13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151.5" customHeight="1" x14ac:dyDescent="0.3">
      <c r="A39" s="265">
        <v>6</v>
      </c>
      <c r="B39" s="224"/>
      <c r="C39" s="224"/>
      <c r="D39" s="141"/>
      <c r="E39" s="224"/>
      <c r="F39" s="268"/>
      <c r="G39" s="268"/>
      <c r="H39" s="224"/>
      <c r="I39" s="227"/>
      <c r="J39" s="230" t="str">
        <f>IF(I39&lt;=0,"",IF(I39&lt;=2,"Muy Baja",IF(I39&lt;=24,"Baja",IF(I39&lt;=500,"Media",IF(I39&lt;=5000,"Alta","Muy Alta")))))</f>
        <v/>
      </c>
      <c r="K39" s="233" t="str">
        <f>IF(J39="","",IF(J39="Muy Baja",0.2,IF(J39="Baja",0.4,IF(J39="Media",0.6,IF(J39="Alta",0.8,IF(J39="Muy Alta",1,))))))</f>
        <v/>
      </c>
      <c r="L39" s="236"/>
      <c r="M39" s="233">
        <f ca="1">IF(NOT(ISERROR(MATCH(L39,'Tabla Impacto'!$B$221:$B$223,0))),'Tabla Impacto'!$F$223&amp;"Por favor no seleccionar los criterios de impacto(Afectación Económica o presupuestal y Pérdida Reputacional)",L39)</f>
        <v>0</v>
      </c>
      <c r="N39" s="230" t="str">
        <f ca="1">IF(OR(M39='Tabla Impacto'!$C$11,M39='Tabla Impacto'!$D$11),"Leve",IF(OR(M39='Tabla Impacto'!$C$12,M39='Tabla Impacto'!$D$12),"Menor",IF(OR(M39='Tabla Impacto'!$C$13,M39='Tabla Impacto'!$D$13),"Moderado",IF(OR(M39='Tabla Impacto'!$C$14,M39='Tabla Impacto'!$D$14),"Mayor",IF(OR(M39='Tabla Impacto'!$C$15,M39='Tabla Impacto'!$D$15),"Catastrófico","")))))</f>
        <v/>
      </c>
      <c r="O39" s="233" t="str">
        <f ca="1">IF(N39="","",IF(N39="Leve",0.2,IF(N39="Menor",0.4,IF(N39="Moderado",0.6,IF(N39="Mayor",0.8,IF(N39="Catastrófico",1,))))))</f>
        <v/>
      </c>
      <c r="P39" s="221" t="str">
        <f ca="1">IF(OR(AND(J39="Muy Baja",N39="Leve"),AND(J39="Muy Baja",N39="Menor"),AND(J39="Baja",N39="Leve")),"Bajo",IF(OR(AND(J39="Muy baja",N39="Moderado"),AND(J39="Baja",N39="Menor"),AND(J39="Baja",N39="Moderado"),AND(J39="Media",N39="Leve"),AND(J39="Media",N39="Menor"),AND(J39="Media",N39="Moderado"),AND(J39="Alta",N39="Leve"),AND(J39="Alta",N39="Menor")),"Moderado",IF(OR(AND(J39="Muy Baja",N39="Mayor"),AND(J39="Baja",N39="Mayor"),AND(J39="Media",N39="Mayor"),AND(J39="Alta",N39="Moderado"),AND(J39="Alta",N39="Mayor"),AND(J39="Muy Alta",N39="Leve"),AND(J39="Muy Alta",N39="Menor"),AND(J39="Muy Alta",N39="Moderado"),AND(J39="Muy Alta",N39="Mayor")),"Alto",IF(OR(AND(J39="Muy Baja",N39="Catastrófico"),AND(J39="Baja",N39="Catastrófico"),AND(J39="Media",N39="Catastrófico"),AND(J39="Alta",N39="Catastrófico"),AND(J39="Muy Alta",N39="Catastrófico")),"Extremo",""))))</f>
        <v/>
      </c>
      <c r="Q39" s="125">
        <v>1</v>
      </c>
      <c r="R39" s="126"/>
      <c r="S39" s="127" t="str">
        <f>IF(OR(T39="Preventivo",T39="Detectivo"),"Probabilidad",IF(T39="Correctivo","Impacto",""))</f>
        <v/>
      </c>
      <c r="T39" s="128"/>
      <c r="U39" s="128"/>
      <c r="V39" s="129" t="str">
        <f>IF(AND(T39="Preventivo",U39="Automático"),"50%",IF(AND(T39="Preventivo",U39="Manual"),"40%",IF(AND(T39="Detectivo",U39="Automático"),"40%",IF(AND(T39="Detectivo",U39="Manual"),"30%",IF(AND(T39="Correctivo",U39="Automático"),"35%",IF(AND(T39="Correctivo",U39="Manual"),"25%",""))))))</f>
        <v/>
      </c>
      <c r="W39" s="128"/>
      <c r="X39" s="128"/>
      <c r="Y39" s="128"/>
      <c r="Z39" s="130" t="str">
        <f>IFERROR(IF(S39="Probabilidad",(K39-(+K39*V39)),IF(S39="Impacto",K39,"")),"")</f>
        <v/>
      </c>
      <c r="AA39" s="131" t="str">
        <f>IFERROR(IF(Z39="","",IF(Z39&lt;=0.2,"Muy Baja",IF(Z39&lt;=0.4,"Baja",IF(Z39&lt;=0.6,"Media",IF(Z39&lt;=0.8,"Alta","Muy Alta"))))),"")</f>
        <v/>
      </c>
      <c r="AB39" s="132" t="str">
        <f>+Z39</f>
        <v/>
      </c>
      <c r="AC39" s="131" t="str">
        <f>IFERROR(IF(AD39="","",IF(AD39&lt;=0.2,"Leve",IF(AD39&lt;=0.4,"Menor",IF(AD39&lt;=0.6,"Moderado",IF(AD39&lt;=0.8,"Mayor","Catastrófico"))))),"")</f>
        <v/>
      </c>
      <c r="AD39" s="140" t="str">
        <f>IFERROR(IF(S39="Impacto",(O39-(+O39*V39)),IF(S39="Probabilidad",O39,"")),"")</f>
        <v/>
      </c>
      <c r="AE39" s="133" t="str">
        <f>IFERROR(IF(OR(AND(AA39="Muy Baja",AC39="Leve"),AND(AA39="Muy Baja",AC39="Menor"),AND(AA39="Baja",AC39="Leve")),"Bajo",IF(OR(AND(AA39="Muy baja",AC39="Moderado"),AND(AA39="Baja",AC39="Menor"),AND(AA39="Baja",AC39="Moderado"),AND(AA39="Media",AC39="Leve"),AND(AA39="Media",AC39="Menor"),AND(AA39="Media",AC39="Moderado"),AND(AA39="Alta",AC39="Leve"),AND(AA39="Alta",AC39="Menor")),"Moderado",IF(OR(AND(AA39="Muy Baja",AC39="Mayor"),AND(AA39="Baja",AC39="Mayor"),AND(AA39="Media",AC39="Mayor"),AND(AA39="Alta",AC39="Moderado"),AND(AA39="Alta",AC39="Mayor"),AND(AA39="Muy Alta",AC39="Leve"),AND(AA39="Muy Alta",AC39="Menor"),AND(AA39="Muy Alta",AC39="Moderado"),AND(AA39="Muy Alta",AC39="Mayor")),"Alto",IF(OR(AND(AA39="Muy Baja",AC39="Catastrófico"),AND(AA39="Baja",AC39="Catastrófico"),AND(AA39="Media",AC39="Catastrófico"),AND(AA39="Alta",AC39="Catastrófico"),AND(AA39="Muy Alta",AC39="Catastrófico")),"Extremo","")))),"")</f>
        <v/>
      </c>
      <c r="AF39" s="134"/>
      <c r="AG39" s="135"/>
      <c r="AH39" s="136"/>
      <c r="AI39" s="137"/>
      <c r="AJ39" s="137"/>
      <c r="AK39" s="135"/>
      <c r="AL39" s="13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151.5" customHeight="1" x14ac:dyDescent="0.3">
      <c r="A40" s="266"/>
      <c r="B40" s="225"/>
      <c r="C40" s="225"/>
      <c r="D40" s="142"/>
      <c r="E40" s="225"/>
      <c r="F40" s="269"/>
      <c r="G40" s="269"/>
      <c r="H40" s="225"/>
      <c r="I40" s="228"/>
      <c r="J40" s="231"/>
      <c r="K40" s="234"/>
      <c r="L40" s="237"/>
      <c r="M40" s="234">
        <f ca="1">IF(NOT(ISERROR(MATCH(L40,_xlfn.ANCHORARRAY(G51),0))),K53&amp;"Por favor no seleccionar los criterios de impacto",L40)</f>
        <v>0</v>
      </c>
      <c r="N40" s="231"/>
      <c r="O40" s="234"/>
      <c r="P40" s="222"/>
      <c r="Q40" s="125">
        <v>2</v>
      </c>
      <c r="R40" s="126"/>
      <c r="S40" s="127" t="str">
        <f>IF(OR(T40="Preventivo",T40="Detectivo"),"Probabilidad",IF(T40="Correctivo","Impacto",""))</f>
        <v/>
      </c>
      <c r="T40" s="128"/>
      <c r="U40" s="128"/>
      <c r="V40" s="129" t="str">
        <f t="shared" ref="V40:V44" si="34">IF(AND(T40="Preventivo",U40="Automático"),"50%",IF(AND(T40="Preventivo",U40="Manual"),"40%",IF(AND(T40="Detectivo",U40="Automático"),"40%",IF(AND(T40="Detectivo",U40="Manual"),"30%",IF(AND(T40="Correctivo",U40="Automático"),"35%",IF(AND(T40="Correctivo",U40="Manual"),"25%",""))))))</f>
        <v/>
      </c>
      <c r="W40" s="128"/>
      <c r="X40" s="128"/>
      <c r="Y40" s="128"/>
      <c r="Z40" s="130" t="str">
        <f>IFERROR(IF(AND(S39="Probabilidad",S40="Probabilidad"),(AB39-(+AB39*V40)),IF(S40="Probabilidad",(K39-(+K39*V40)),IF(S40="Impacto",AB39,""))),"")</f>
        <v/>
      </c>
      <c r="AA40" s="131" t="str">
        <f t="shared" si="1"/>
        <v/>
      </c>
      <c r="AB40" s="132" t="str">
        <f t="shared" ref="AB40:AB44" si="35">+Z40</f>
        <v/>
      </c>
      <c r="AC40" s="131" t="str">
        <f t="shared" si="3"/>
        <v/>
      </c>
      <c r="AD40" s="140" t="str">
        <f>IFERROR(IF(AND(S39="Impacto",S40="Impacto"),(AD39-(+AD39*V40)),IF(S40="Impacto",(O39-(+O39*V40)),IF(S40="Probabilidad",AD39,""))),"")</f>
        <v/>
      </c>
      <c r="AE40" s="133" t="str">
        <f t="shared" ref="AE40:AE41" si="36">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34"/>
      <c r="AG40" s="135"/>
      <c r="AH40" s="136"/>
      <c r="AI40" s="137"/>
      <c r="AJ40" s="137"/>
      <c r="AK40" s="135"/>
      <c r="AL40" s="13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151.5" customHeight="1" x14ac:dyDescent="0.3">
      <c r="A41" s="266"/>
      <c r="B41" s="225"/>
      <c r="C41" s="225"/>
      <c r="D41" s="142"/>
      <c r="E41" s="225"/>
      <c r="F41" s="269"/>
      <c r="G41" s="269"/>
      <c r="H41" s="225"/>
      <c r="I41" s="228"/>
      <c r="J41" s="231"/>
      <c r="K41" s="234"/>
      <c r="L41" s="237"/>
      <c r="M41" s="234">
        <f ca="1">IF(NOT(ISERROR(MATCH(L41,_xlfn.ANCHORARRAY(G52),0))),K54&amp;"Por favor no seleccionar los criterios de impacto",L41)</f>
        <v>0</v>
      </c>
      <c r="N41" s="231"/>
      <c r="O41" s="234"/>
      <c r="P41" s="222"/>
      <c r="Q41" s="125">
        <v>3</v>
      </c>
      <c r="R41" s="138"/>
      <c r="S41" s="127" t="str">
        <f>IF(OR(T41="Preventivo",T41="Detectivo"),"Probabilidad",IF(T41="Correctivo","Impacto",""))</f>
        <v/>
      </c>
      <c r="T41" s="128"/>
      <c r="U41" s="128"/>
      <c r="V41" s="129" t="str">
        <f t="shared" si="34"/>
        <v/>
      </c>
      <c r="W41" s="128"/>
      <c r="X41" s="128"/>
      <c r="Y41" s="128"/>
      <c r="Z41" s="130" t="str">
        <f>IFERROR(IF(AND(S40="Probabilidad",S41="Probabilidad"),(AB40-(+AB40*V41)),IF(AND(S40="Impacto",S41="Probabilidad"),(AB39-(+AB39*V41)),IF(S41="Impacto",AB40,""))),"")</f>
        <v/>
      </c>
      <c r="AA41" s="131" t="str">
        <f t="shared" si="1"/>
        <v/>
      </c>
      <c r="AB41" s="132" t="str">
        <f t="shared" si="35"/>
        <v/>
      </c>
      <c r="AC41" s="131" t="str">
        <f t="shared" si="3"/>
        <v/>
      </c>
      <c r="AD41" s="140" t="str">
        <f>IFERROR(IF(AND(S40="Impacto",S41="Impacto"),(AD40-(+AD40*V41)),IF(AND(S40="Probabilidad",S41="Impacto"),(AD39-(+AD39*V41)),IF(S41="Probabilidad",AD40,""))),"")</f>
        <v/>
      </c>
      <c r="AE41" s="133" t="str">
        <f t="shared" si="36"/>
        <v/>
      </c>
      <c r="AF41" s="134"/>
      <c r="AG41" s="135"/>
      <c r="AH41" s="136"/>
      <c r="AI41" s="137"/>
      <c r="AJ41" s="137"/>
      <c r="AK41" s="135"/>
      <c r="AL41" s="13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151.5" customHeight="1" x14ac:dyDescent="0.3">
      <c r="A42" s="266"/>
      <c r="B42" s="225"/>
      <c r="C42" s="225"/>
      <c r="D42" s="142"/>
      <c r="E42" s="225"/>
      <c r="F42" s="269"/>
      <c r="G42" s="269"/>
      <c r="H42" s="225"/>
      <c r="I42" s="228"/>
      <c r="J42" s="231"/>
      <c r="K42" s="234"/>
      <c r="L42" s="237"/>
      <c r="M42" s="234">
        <f ca="1">IF(NOT(ISERROR(MATCH(L42,_xlfn.ANCHORARRAY(G53),0))),K55&amp;"Por favor no seleccionar los criterios de impacto",L42)</f>
        <v>0</v>
      </c>
      <c r="N42" s="231"/>
      <c r="O42" s="234"/>
      <c r="P42" s="222"/>
      <c r="Q42" s="125">
        <v>4</v>
      </c>
      <c r="R42" s="126"/>
      <c r="S42" s="127" t="str">
        <f t="shared" ref="S42:S44" si="37">IF(OR(T42="Preventivo",T42="Detectivo"),"Probabilidad",IF(T42="Correctivo","Impacto",""))</f>
        <v/>
      </c>
      <c r="T42" s="128"/>
      <c r="U42" s="128"/>
      <c r="V42" s="129" t="str">
        <f t="shared" si="34"/>
        <v/>
      </c>
      <c r="W42" s="128"/>
      <c r="X42" s="128"/>
      <c r="Y42" s="128"/>
      <c r="Z42" s="130" t="str">
        <f t="shared" ref="Z42:Z44" si="38">IFERROR(IF(AND(S41="Probabilidad",S42="Probabilidad"),(AB41-(+AB41*V42)),IF(AND(S41="Impacto",S42="Probabilidad"),(AB40-(+AB40*V42)),IF(S42="Impacto",AB41,""))),"")</f>
        <v/>
      </c>
      <c r="AA42" s="131" t="str">
        <f t="shared" si="1"/>
        <v/>
      </c>
      <c r="AB42" s="132" t="str">
        <f t="shared" si="35"/>
        <v/>
      </c>
      <c r="AC42" s="131" t="str">
        <f t="shared" si="3"/>
        <v/>
      </c>
      <c r="AD42" s="140" t="str">
        <f t="shared" ref="AD42:AD44" si="39">IFERROR(IF(AND(S41="Impacto",S42="Impacto"),(AD41-(+AD41*V42)),IF(AND(S41="Probabilidad",S42="Impacto"),(AD40-(+AD40*V42)),IF(S42="Probabilidad",AD41,""))),"")</f>
        <v/>
      </c>
      <c r="AE42" s="133" t="str">
        <f>IFERROR(IF(OR(AND(AA42="Muy Baja",AC42="Leve"),AND(AA42="Muy Baja",AC42="Menor"),AND(AA42="Baja",AC42="Leve")),"Bajo",IF(OR(AND(AA42="Muy baja",AC42="Moderado"),AND(AA42="Baja",AC42="Menor"),AND(AA42="Baja",AC42="Moderado"),AND(AA42="Media",AC42="Leve"),AND(AA42="Media",AC42="Menor"),AND(AA42="Media",AC42="Moderado"),AND(AA42="Alta",AC42="Leve"),AND(AA42="Alta",AC42="Menor")),"Moderado",IF(OR(AND(AA42="Muy Baja",AC42="Mayor"),AND(AA42="Baja",AC42="Mayor"),AND(AA42="Media",AC42="Mayor"),AND(AA42="Alta",AC42="Moderado"),AND(AA42="Alta",AC42="Mayor"),AND(AA42="Muy Alta",AC42="Leve"),AND(AA42="Muy Alta",AC42="Menor"),AND(AA42="Muy Alta",AC42="Moderado"),AND(AA42="Muy Alta",AC42="Mayor")),"Alto",IF(OR(AND(AA42="Muy Baja",AC42="Catastrófico"),AND(AA42="Baja",AC42="Catastrófico"),AND(AA42="Media",AC42="Catastrófico"),AND(AA42="Alta",AC42="Catastrófico"),AND(AA42="Muy Alta",AC42="Catastrófico")),"Extremo","")))),"")</f>
        <v/>
      </c>
      <c r="AF42" s="134"/>
      <c r="AG42" s="135"/>
      <c r="AH42" s="136"/>
      <c r="AI42" s="137"/>
      <c r="AJ42" s="137"/>
      <c r="AK42" s="135"/>
      <c r="AL42" s="13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151.5" customHeight="1" x14ac:dyDescent="0.3">
      <c r="A43" s="266"/>
      <c r="B43" s="225"/>
      <c r="C43" s="225"/>
      <c r="D43" s="142"/>
      <c r="E43" s="225"/>
      <c r="F43" s="269"/>
      <c r="G43" s="269"/>
      <c r="H43" s="225"/>
      <c r="I43" s="228"/>
      <c r="J43" s="231"/>
      <c r="K43" s="234"/>
      <c r="L43" s="237"/>
      <c r="M43" s="234">
        <f ca="1">IF(NOT(ISERROR(MATCH(L43,_xlfn.ANCHORARRAY(G54),0))),K56&amp;"Por favor no seleccionar los criterios de impacto",L43)</f>
        <v>0</v>
      </c>
      <c r="N43" s="231"/>
      <c r="O43" s="234"/>
      <c r="P43" s="222"/>
      <c r="Q43" s="125">
        <v>5</v>
      </c>
      <c r="R43" s="126"/>
      <c r="S43" s="127" t="str">
        <f t="shared" si="37"/>
        <v/>
      </c>
      <c r="T43" s="128"/>
      <c r="U43" s="128"/>
      <c r="V43" s="129" t="str">
        <f t="shared" si="34"/>
        <v/>
      </c>
      <c r="W43" s="128"/>
      <c r="X43" s="128"/>
      <c r="Y43" s="128"/>
      <c r="Z43" s="130" t="str">
        <f t="shared" si="38"/>
        <v/>
      </c>
      <c r="AA43" s="131" t="str">
        <f t="shared" si="1"/>
        <v/>
      </c>
      <c r="AB43" s="132" t="str">
        <f t="shared" si="35"/>
        <v/>
      </c>
      <c r="AC43" s="131" t="str">
        <f t="shared" si="3"/>
        <v/>
      </c>
      <c r="AD43" s="140" t="str">
        <f t="shared" si="39"/>
        <v/>
      </c>
      <c r="AE43" s="133" t="str">
        <f t="shared" ref="AE43" si="40">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134"/>
      <c r="AG43" s="135"/>
      <c r="AH43" s="136"/>
      <c r="AI43" s="137"/>
      <c r="AJ43" s="137"/>
      <c r="AK43" s="135"/>
      <c r="AL43" s="13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151.5" customHeight="1" x14ac:dyDescent="0.3">
      <c r="A44" s="267"/>
      <c r="B44" s="226"/>
      <c r="C44" s="226"/>
      <c r="D44" s="143"/>
      <c r="E44" s="226"/>
      <c r="F44" s="270"/>
      <c r="G44" s="270"/>
      <c r="H44" s="226"/>
      <c r="I44" s="229"/>
      <c r="J44" s="232"/>
      <c r="K44" s="235"/>
      <c r="L44" s="238"/>
      <c r="M44" s="235">
        <f ca="1">IF(NOT(ISERROR(MATCH(L44,_xlfn.ANCHORARRAY(G55),0))),K57&amp;"Por favor no seleccionar los criterios de impacto",L44)</f>
        <v>0</v>
      </c>
      <c r="N44" s="232"/>
      <c r="O44" s="235"/>
      <c r="P44" s="223"/>
      <c r="Q44" s="125">
        <v>6</v>
      </c>
      <c r="R44" s="126"/>
      <c r="S44" s="127" t="str">
        <f t="shared" si="37"/>
        <v/>
      </c>
      <c r="T44" s="128"/>
      <c r="U44" s="128"/>
      <c r="V44" s="129" t="str">
        <f t="shared" si="34"/>
        <v/>
      </c>
      <c r="W44" s="128"/>
      <c r="X44" s="128"/>
      <c r="Y44" s="128"/>
      <c r="Z44" s="130" t="str">
        <f t="shared" si="38"/>
        <v/>
      </c>
      <c r="AA44" s="131" t="str">
        <f t="shared" si="1"/>
        <v/>
      </c>
      <c r="AB44" s="132" t="str">
        <f t="shared" si="35"/>
        <v/>
      </c>
      <c r="AC44" s="131" t="str">
        <f>IFERROR(IF(AD44="","",IF(AD44&lt;=0.2,"Leve",IF(AD44&lt;=0.4,"Menor",IF(AD44&lt;=0.6,"Moderado",IF(AD44&lt;=0.8,"Mayor","Catastrófico"))))),"")</f>
        <v/>
      </c>
      <c r="AD44" s="140" t="str">
        <f t="shared" si="39"/>
        <v/>
      </c>
      <c r="AE44" s="133" t="str">
        <f>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34"/>
      <c r="AG44" s="135"/>
      <c r="AH44" s="136"/>
      <c r="AI44" s="137"/>
      <c r="AJ44" s="137"/>
      <c r="AK44" s="135"/>
      <c r="AL44" s="13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151.5" customHeight="1" x14ac:dyDescent="0.3">
      <c r="A45" s="265">
        <v>7</v>
      </c>
      <c r="B45" s="224"/>
      <c r="C45" s="224"/>
      <c r="D45" s="141"/>
      <c r="E45" s="224"/>
      <c r="F45" s="268"/>
      <c r="G45" s="268"/>
      <c r="H45" s="224"/>
      <c r="I45" s="227"/>
      <c r="J45" s="230" t="str">
        <f>IF(I45&lt;=0,"",IF(I45&lt;=2,"Muy Baja",IF(I45&lt;=24,"Baja",IF(I45&lt;=500,"Media",IF(I45&lt;=5000,"Alta","Muy Alta")))))</f>
        <v/>
      </c>
      <c r="K45" s="233" t="str">
        <f>IF(J45="","",IF(J45="Muy Baja",0.2,IF(J45="Baja",0.4,IF(J45="Media",0.6,IF(J45="Alta",0.8,IF(J45="Muy Alta",1,))))))</f>
        <v/>
      </c>
      <c r="L45" s="236"/>
      <c r="M45" s="233">
        <f ca="1">IF(NOT(ISERROR(MATCH(L45,'Tabla Impacto'!$B$221:$B$223,0))),'Tabla Impacto'!$F$223&amp;"Por favor no seleccionar los criterios de impacto(Afectación Económica o presupuestal y Pérdida Reputacional)",L45)</f>
        <v>0</v>
      </c>
      <c r="N45" s="230" t="str">
        <f ca="1">IF(OR(M45='Tabla Impacto'!$C$11,M45='Tabla Impacto'!$D$11),"Leve",IF(OR(M45='Tabla Impacto'!$C$12,M45='Tabla Impacto'!$D$12),"Menor",IF(OR(M45='Tabla Impacto'!$C$13,M45='Tabla Impacto'!$D$13),"Moderado",IF(OR(M45='Tabla Impacto'!$C$14,M45='Tabla Impacto'!$D$14),"Mayor",IF(OR(M45='Tabla Impacto'!$C$15,M45='Tabla Impacto'!$D$15),"Catastrófico","")))))</f>
        <v/>
      </c>
      <c r="O45" s="233" t="str">
        <f ca="1">IF(N45="","",IF(N45="Leve",0.2,IF(N45="Menor",0.4,IF(N45="Moderado",0.6,IF(N45="Mayor",0.8,IF(N45="Catastrófico",1,))))))</f>
        <v/>
      </c>
      <c r="P45" s="221" t="str">
        <f ca="1">IF(OR(AND(J45="Muy Baja",N45="Leve"),AND(J45="Muy Baja",N45="Menor"),AND(J45="Baja",N45="Leve")),"Bajo",IF(OR(AND(J45="Muy baja",N45="Moderado"),AND(J45="Baja",N45="Menor"),AND(J45="Baja",N45="Moderado"),AND(J45="Media",N45="Leve"),AND(J45="Media",N45="Menor"),AND(J45="Media",N45="Moderado"),AND(J45="Alta",N45="Leve"),AND(J45="Alta",N45="Menor")),"Moderado",IF(OR(AND(J45="Muy Baja",N45="Mayor"),AND(J45="Baja",N45="Mayor"),AND(J45="Media",N45="Mayor"),AND(J45="Alta",N45="Moderado"),AND(J45="Alta",N45="Mayor"),AND(J45="Muy Alta",N45="Leve"),AND(J45="Muy Alta",N45="Menor"),AND(J45="Muy Alta",N45="Moderado"),AND(J45="Muy Alta",N45="Mayor")),"Alto",IF(OR(AND(J45="Muy Baja",N45="Catastrófico"),AND(J45="Baja",N45="Catastrófico"),AND(J45="Media",N45="Catastrófico"),AND(J45="Alta",N45="Catastrófico"),AND(J45="Muy Alta",N45="Catastrófico")),"Extremo",""))))</f>
        <v/>
      </c>
      <c r="Q45" s="125">
        <v>1</v>
      </c>
      <c r="R45" s="126"/>
      <c r="S45" s="127" t="str">
        <f>IF(OR(T45="Preventivo",T45="Detectivo"),"Probabilidad",IF(T45="Correctivo","Impacto",""))</f>
        <v/>
      </c>
      <c r="T45" s="128"/>
      <c r="U45" s="128"/>
      <c r="V45" s="129" t="str">
        <f>IF(AND(T45="Preventivo",U45="Automático"),"50%",IF(AND(T45="Preventivo",U45="Manual"),"40%",IF(AND(T45="Detectivo",U45="Automático"),"40%",IF(AND(T45="Detectivo",U45="Manual"),"30%",IF(AND(T45="Correctivo",U45="Automático"),"35%",IF(AND(T45="Correctivo",U45="Manual"),"25%",""))))))</f>
        <v/>
      </c>
      <c r="W45" s="128"/>
      <c r="X45" s="128"/>
      <c r="Y45" s="128"/>
      <c r="Z45" s="130" t="str">
        <f>IFERROR(IF(S45="Probabilidad",(K45-(+K45*V45)),IF(S45="Impacto",K45,"")),"")</f>
        <v/>
      </c>
      <c r="AA45" s="131" t="str">
        <f>IFERROR(IF(Z45="","",IF(Z45&lt;=0.2,"Muy Baja",IF(Z45&lt;=0.4,"Baja",IF(Z45&lt;=0.6,"Media",IF(Z45&lt;=0.8,"Alta","Muy Alta"))))),"")</f>
        <v/>
      </c>
      <c r="AB45" s="132" t="str">
        <f>+Z45</f>
        <v/>
      </c>
      <c r="AC45" s="131" t="str">
        <f>IFERROR(IF(AD45="","",IF(AD45&lt;=0.2,"Leve",IF(AD45&lt;=0.4,"Menor",IF(AD45&lt;=0.6,"Moderado",IF(AD45&lt;=0.8,"Mayor","Catastrófico"))))),"")</f>
        <v/>
      </c>
      <c r="AD45" s="140" t="str">
        <f>IFERROR(IF(S45="Impacto",(O45-(+O45*V45)),IF(S45="Probabilidad",O45,"")),"")</f>
        <v/>
      </c>
      <c r="AE45" s="133" t="str">
        <f>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34"/>
      <c r="AG45" s="135"/>
      <c r="AH45" s="136"/>
      <c r="AI45" s="137"/>
      <c r="AJ45" s="137"/>
      <c r="AK45" s="135"/>
      <c r="AL45" s="13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151.5" customHeight="1" x14ac:dyDescent="0.3">
      <c r="A46" s="266"/>
      <c r="B46" s="225"/>
      <c r="C46" s="225"/>
      <c r="D46" s="142"/>
      <c r="E46" s="225"/>
      <c r="F46" s="269"/>
      <c r="G46" s="269"/>
      <c r="H46" s="225"/>
      <c r="I46" s="228"/>
      <c r="J46" s="231"/>
      <c r="K46" s="234"/>
      <c r="L46" s="237"/>
      <c r="M46" s="234">
        <f ca="1">IF(NOT(ISERROR(MATCH(L46,_xlfn.ANCHORARRAY(G57),0))),K59&amp;"Por favor no seleccionar los criterios de impacto",L46)</f>
        <v>0</v>
      </c>
      <c r="N46" s="231"/>
      <c r="O46" s="234"/>
      <c r="P46" s="222"/>
      <c r="Q46" s="125">
        <v>2</v>
      </c>
      <c r="R46" s="126"/>
      <c r="S46" s="127" t="str">
        <f>IF(OR(T46="Preventivo",T46="Detectivo"),"Probabilidad",IF(T46="Correctivo","Impacto",""))</f>
        <v/>
      </c>
      <c r="T46" s="128"/>
      <c r="U46" s="128"/>
      <c r="V46" s="129" t="str">
        <f t="shared" ref="V46:V50" si="41">IF(AND(T46="Preventivo",U46="Automático"),"50%",IF(AND(T46="Preventivo",U46="Manual"),"40%",IF(AND(T46="Detectivo",U46="Automático"),"40%",IF(AND(T46="Detectivo",U46="Manual"),"30%",IF(AND(T46="Correctivo",U46="Automático"),"35%",IF(AND(T46="Correctivo",U46="Manual"),"25%",""))))))</f>
        <v/>
      </c>
      <c r="W46" s="128"/>
      <c r="X46" s="128"/>
      <c r="Y46" s="128"/>
      <c r="Z46" s="130" t="str">
        <f>IFERROR(IF(AND(S45="Probabilidad",S46="Probabilidad"),(AB45-(+AB45*V46)),IF(S46="Probabilidad",(K45-(+K45*V46)),IF(S46="Impacto",AB45,""))),"")</f>
        <v/>
      </c>
      <c r="AA46" s="131" t="str">
        <f t="shared" si="1"/>
        <v/>
      </c>
      <c r="AB46" s="132" t="str">
        <f t="shared" ref="AB46:AB50" si="42">+Z46</f>
        <v/>
      </c>
      <c r="AC46" s="131" t="str">
        <f t="shared" si="3"/>
        <v/>
      </c>
      <c r="AD46" s="140" t="str">
        <f>IFERROR(IF(AND(S45="Impacto",S46="Impacto"),(AD45-(+AD45*V46)),IF(S46="Impacto",(O45-(+O45*V46)),IF(S46="Probabilidad",AD45,""))),"")</f>
        <v/>
      </c>
      <c r="AE46" s="133" t="str">
        <f t="shared" ref="AE46:AE47" si="43">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34"/>
      <c r="AG46" s="135"/>
      <c r="AH46" s="136"/>
      <c r="AI46" s="137"/>
      <c r="AJ46" s="137"/>
      <c r="AK46" s="135"/>
      <c r="AL46" s="13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151.5" customHeight="1" x14ac:dyDescent="0.3">
      <c r="A47" s="266"/>
      <c r="B47" s="225"/>
      <c r="C47" s="225"/>
      <c r="D47" s="142"/>
      <c r="E47" s="225"/>
      <c r="F47" s="269"/>
      <c r="G47" s="269"/>
      <c r="H47" s="225"/>
      <c r="I47" s="228"/>
      <c r="J47" s="231"/>
      <c r="K47" s="234"/>
      <c r="L47" s="237"/>
      <c r="M47" s="234">
        <f ca="1">IF(NOT(ISERROR(MATCH(L47,_xlfn.ANCHORARRAY(G58),0))),K60&amp;"Por favor no seleccionar los criterios de impacto",L47)</f>
        <v>0</v>
      </c>
      <c r="N47" s="231"/>
      <c r="O47" s="234"/>
      <c r="P47" s="222"/>
      <c r="Q47" s="125">
        <v>3</v>
      </c>
      <c r="R47" s="138"/>
      <c r="S47" s="127" t="str">
        <f>IF(OR(T47="Preventivo",T47="Detectivo"),"Probabilidad",IF(T47="Correctivo","Impacto",""))</f>
        <v/>
      </c>
      <c r="T47" s="128"/>
      <c r="U47" s="128"/>
      <c r="V47" s="129" t="str">
        <f t="shared" si="41"/>
        <v/>
      </c>
      <c r="W47" s="128"/>
      <c r="X47" s="128"/>
      <c r="Y47" s="128"/>
      <c r="Z47" s="130" t="str">
        <f>IFERROR(IF(AND(S46="Probabilidad",S47="Probabilidad"),(AB46-(+AB46*V47)),IF(AND(S46="Impacto",S47="Probabilidad"),(AB45-(+AB45*V47)),IF(S47="Impacto",AB46,""))),"")</f>
        <v/>
      </c>
      <c r="AA47" s="131" t="str">
        <f t="shared" si="1"/>
        <v/>
      </c>
      <c r="AB47" s="132" t="str">
        <f t="shared" si="42"/>
        <v/>
      </c>
      <c r="AC47" s="131" t="str">
        <f t="shared" si="3"/>
        <v/>
      </c>
      <c r="AD47" s="140" t="str">
        <f>IFERROR(IF(AND(S46="Impacto",S47="Impacto"),(AD46-(+AD46*V47)),IF(AND(S46="Probabilidad",S47="Impacto"),(AD45-(+AD45*V47)),IF(S47="Probabilidad",AD46,""))),"")</f>
        <v/>
      </c>
      <c r="AE47" s="133" t="str">
        <f t="shared" si="43"/>
        <v/>
      </c>
      <c r="AF47" s="134"/>
      <c r="AG47" s="135"/>
      <c r="AH47" s="136"/>
      <c r="AI47" s="137"/>
      <c r="AJ47" s="137"/>
      <c r="AK47" s="135"/>
      <c r="AL47" s="13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151.5" customHeight="1" x14ac:dyDescent="0.3">
      <c r="A48" s="266"/>
      <c r="B48" s="225"/>
      <c r="C48" s="225"/>
      <c r="D48" s="142"/>
      <c r="E48" s="225"/>
      <c r="F48" s="269"/>
      <c r="G48" s="269"/>
      <c r="H48" s="225"/>
      <c r="I48" s="228"/>
      <c r="J48" s="231"/>
      <c r="K48" s="234"/>
      <c r="L48" s="237"/>
      <c r="M48" s="234">
        <f ca="1">IF(NOT(ISERROR(MATCH(L48,_xlfn.ANCHORARRAY(G59),0))),K61&amp;"Por favor no seleccionar los criterios de impacto",L48)</f>
        <v>0</v>
      </c>
      <c r="N48" s="231"/>
      <c r="O48" s="234"/>
      <c r="P48" s="222"/>
      <c r="Q48" s="125">
        <v>4</v>
      </c>
      <c r="R48" s="126"/>
      <c r="S48" s="127" t="str">
        <f t="shared" ref="S48:S50" si="44">IF(OR(T48="Preventivo",T48="Detectivo"),"Probabilidad",IF(T48="Correctivo","Impacto",""))</f>
        <v/>
      </c>
      <c r="T48" s="128"/>
      <c r="U48" s="128"/>
      <c r="V48" s="129" t="str">
        <f t="shared" si="41"/>
        <v/>
      </c>
      <c r="W48" s="128"/>
      <c r="X48" s="128"/>
      <c r="Y48" s="128"/>
      <c r="Z48" s="130" t="str">
        <f t="shared" ref="Z48:Z50" si="45">IFERROR(IF(AND(S47="Probabilidad",S48="Probabilidad"),(AB47-(+AB47*V48)),IF(AND(S47="Impacto",S48="Probabilidad"),(AB46-(+AB46*V48)),IF(S48="Impacto",AB47,""))),"")</f>
        <v/>
      </c>
      <c r="AA48" s="131" t="str">
        <f t="shared" si="1"/>
        <v/>
      </c>
      <c r="AB48" s="132" t="str">
        <f t="shared" si="42"/>
        <v/>
      </c>
      <c r="AC48" s="131" t="str">
        <f t="shared" si="3"/>
        <v/>
      </c>
      <c r="AD48" s="140" t="str">
        <f t="shared" ref="AD48:AD50" si="46">IFERROR(IF(AND(S47="Impacto",S48="Impacto"),(AD47-(+AD47*V48)),IF(AND(S47="Probabilidad",S48="Impacto"),(AD46-(+AD46*V48)),IF(S48="Probabilidad",AD47,""))),"")</f>
        <v/>
      </c>
      <c r="AE48" s="133" t="str">
        <f>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34"/>
      <c r="AG48" s="135"/>
      <c r="AH48" s="136"/>
      <c r="AI48" s="137"/>
      <c r="AJ48" s="137"/>
      <c r="AK48" s="135"/>
      <c r="AL48" s="13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151.5" customHeight="1" x14ac:dyDescent="0.3">
      <c r="A49" s="266"/>
      <c r="B49" s="225"/>
      <c r="C49" s="225"/>
      <c r="D49" s="142"/>
      <c r="E49" s="225"/>
      <c r="F49" s="269"/>
      <c r="G49" s="269"/>
      <c r="H49" s="225"/>
      <c r="I49" s="228"/>
      <c r="J49" s="231"/>
      <c r="K49" s="234"/>
      <c r="L49" s="237"/>
      <c r="M49" s="234">
        <f ca="1">IF(NOT(ISERROR(MATCH(L49,_xlfn.ANCHORARRAY(G60),0))),K62&amp;"Por favor no seleccionar los criterios de impacto",L49)</f>
        <v>0</v>
      </c>
      <c r="N49" s="231"/>
      <c r="O49" s="234"/>
      <c r="P49" s="222"/>
      <c r="Q49" s="125">
        <v>5</v>
      </c>
      <c r="R49" s="126"/>
      <c r="S49" s="127" t="str">
        <f t="shared" si="44"/>
        <v/>
      </c>
      <c r="T49" s="128"/>
      <c r="U49" s="128"/>
      <c r="V49" s="129" t="str">
        <f t="shared" si="41"/>
        <v/>
      </c>
      <c r="W49" s="128"/>
      <c r="X49" s="128"/>
      <c r="Y49" s="128"/>
      <c r="Z49" s="130" t="str">
        <f t="shared" si="45"/>
        <v/>
      </c>
      <c r="AA49" s="131" t="str">
        <f t="shared" si="1"/>
        <v/>
      </c>
      <c r="AB49" s="132" t="str">
        <f t="shared" si="42"/>
        <v/>
      </c>
      <c r="AC49" s="131" t="str">
        <f t="shared" si="3"/>
        <v/>
      </c>
      <c r="AD49" s="140" t="str">
        <f t="shared" si="46"/>
        <v/>
      </c>
      <c r="AE49" s="133" t="str">
        <f t="shared" ref="AE49:AE50" si="47">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34"/>
      <c r="AG49" s="135"/>
      <c r="AH49" s="136"/>
      <c r="AI49" s="137"/>
      <c r="AJ49" s="137"/>
      <c r="AK49" s="135"/>
      <c r="AL49" s="13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151.5" customHeight="1" x14ac:dyDescent="0.3">
      <c r="A50" s="267"/>
      <c r="B50" s="226"/>
      <c r="C50" s="226"/>
      <c r="D50" s="143"/>
      <c r="E50" s="226"/>
      <c r="F50" s="270"/>
      <c r="G50" s="270"/>
      <c r="H50" s="226"/>
      <c r="I50" s="229"/>
      <c r="J50" s="232"/>
      <c r="K50" s="235"/>
      <c r="L50" s="238"/>
      <c r="M50" s="235">
        <f ca="1">IF(NOT(ISERROR(MATCH(L50,_xlfn.ANCHORARRAY(G61),0))),K63&amp;"Por favor no seleccionar los criterios de impacto",L50)</f>
        <v>0</v>
      </c>
      <c r="N50" s="232"/>
      <c r="O50" s="235"/>
      <c r="P50" s="223"/>
      <c r="Q50" s="125">
        <v>6</v>
      </c>
      <c r="R50" s="126"/>
      <c r="S50" s="127" t="str">
        <f t="shared" si="44"/>
        <v/>
      </c>
      <c r="T50" s="128"/>
      <c r="U50" s="128"/>
      <c r="V50" s="129" t="str">
        <f t="shared" si="41"/>
        <v/>
      </c>
      <c r="W50" s="128"/>
      <c r="X50" s="128"/>
      <c r="Y50" s="128"/>
      <c r="Z50" s="130" t="str">
        <f t="shared" si="45"/>
        <v/>
      </c>
      <c r="AA50" s="131" t="str">
        <f t="shared" si="1"/>
        <v/>
      </c>
      <c r="AB50" s="132" t="str">
        <f t="shared" si="42"/>
        <v/>
      </c>
      <c r="AC50" s="131" t="str">
        <f t="shared" si="3"/>
        <v/>
      </c>
      <c r="AD50" s="140" t="str">
        <f t="shared" si="46"/>
        <v/>
      </c>
      <c r="AE50" s="133" t="str">
        <f t="shared" si="47"/>
        <v/>
      </c>
      <c r="AF50" s="134"/>
      <c r="AG50" s="135"/>
      <c r="AH50" s="136"/>
      <c r="AI50" s="137"/>
      <c r="AJ50" s="137"/>
      <c r="AK50" s="135"/>
      <c r="AL50" s="13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151.5" customHeight="1" x14ac:dyDescent="0.3">
      <c r="A51" s="265">
        <v>8</v>
      </c>
      <c r="B51" s="224"/>
      <c r="C51" s="224"/>
      <c r="D51" s="141"/>
      <c r="E51" s="224"/>
      <c r="F51" s="268"/>
      <c r="G51" s="268"/>
      <c r="H51" s="224"/>
      <c r="I51" s="227"/>
      <c r="J51" s="230" t="str">
        <f>IF(I51&lt;=0,"",IF(I51&lt;=2,"Muy Baja",IF(I51&lt;=24,"Baja",IF(I51&lt;=500,"Media",IF(I51&lt;=5000,"Alta","Muy Alta")))))</f>
        <v/>
      </c>
      <c r="K51" s="233" t="str">
        <f>IF(J51="","",IF(J51="Muy Baja",0.2,IF(J51="Baja",0.4,IF(J51="Media",0.6,IF(J51="Alta",0.8,IF(J51="Muy Alta",1,))))))</f>
        <v/>
      </c>
      <c r="L51" s="236"/>
      <c r="M51" s="233">
        <f ca="1">IF(NOT(ISERROR(MATCH(L51,'Tabla Impacto'!$B$221:$B$223,0))),'Tabla Impacto'!$F$223&amp;"Por favor no seleccionar los criterios de impacto(Afectación Económica o presupuestal y Pérdida Reputacional)",L51)</f>
        <v>0</v>
      </c>
      <c r="N51" s="230" t="str">
        <f ca="1">IF(OR(M51='Tabla Impacto'!$C$11,M51='Tabla Impacto'!$D$11),"Leve",IF(OR(M51='Tabla Impacto'!$C$12,M51='Tabla Impacto'!$D$12),"Menor",IF(OR(M51='Tabla Impacto'!$C$13,M51='Tabla Impacto'!$D$13),"Moderado",IF(OR(M51='Tabla Impacto'!$C$14,M51='Tabla Impacto'!$D$14),"Mayor",IF(OR(M51='Tabla Impacto'!$C$15,M51='Tabla Impacto'!$D$15),"Catastrófico","")))))</f>
        <v/>
      </c>
      <c r="O51" s="233" t="str">
        <f ca="1">IF(N51="","",IF(N51="Leve",0.2,IF(N51="Menor",0.4,IF(N51="Moderado",0.6,IF(N51="Mayor",0.8,IF(N51="Catastrófico",1,))))))</f>
        <v/>
      </c>
      <c r="P51" s="221" t="str">
        <f ca="1">IF(OR(AND(J51="Muy Baja",N51="Leve"),AND(J51="Muy Baja",N51="Menor"),AND(J51="Baja",N51="Leve")),"Bajo",IF(OR(AND(J51="Muy baja",N51="Moderado"),AND(J51="Baja",N51="Menor"),AND(J51="Baja",N51="Moderado"),AND(J51="Media",N51="Leve"),AND(J51="Media",N51="Menor"),AND(J51="Media",N51="Moderado"),AND(J51="Alta",N51="Leve"),AND(J51="Alta",N51="Menor")),"Moderado",IF(OR(AND(J51="Muy Baja",N51="Mayor"),AND(J51="Baja",N51="Mayor"),AND(J51="Media",N51="Mayor"),AND(J51="Alta",N51="Moderado"),AND(J51="Alta",N51="Mayor"),AND(J51="Muy Alta",N51="Leve"),AND(J51="Muy Alta",N51="Menor"),AND(J51="Muy Alta",N51="Moderado"),AND(J51="Muy Alta",N51="Mayor")),"Alto",IF(OR(AND(J51="Muy Baja",N51="Catastrófico"),AND(J51="Baja",N51="Catastrófico"),AND(J51="Media",N51="Catastrófico"),AND(J51="Alta",N51="Catastrófico"),AND(J51="Muy Alta",N51="Catastrófico")),"Extremo",""))))</f>
        <v/>
      </c>
      <c r="Q51" s="125">
        <v>1</v>
      </c>
      <c r="R51" s="126"/>
      <c r="S51" s="127" t="str">
        <f>IF(OR(T51="Preventivo",T51="Detectivo"),"Probabilidad",IF(T51="Correctivo","Impacto",""))</f>
        <v/>
      </c>
      <c r="T51" s="128"/>
      <c r="U51" s="128"/>
      <c r="V51" s="129" t="str">
        <f>IF(AND(T51="Preventivo",U51="Automático"),"50%",IF(AND(T51="Preventivo",U51="Manual"),"40%",IF(AND(T51="Detectivo",U51="Automático"),"40%",IF(AND(T51="Detectivo",U51="Manual"),"30%",IF(AND(T51="Correctivo",U51="Automático"),"35%",IF(AND(T51="Correctivo",U51="Manual"),"25%",""))))))</f>
        <v/>
      </c>
      <c r="W51" s="128"/>
      <c r="X51" s="128"/>
      <c r="Y51" s="128"/>
      <c r="Z51" s="130" t="str">
        <f>IFERROR(IF(S51="Probabilidad",(K51-(+K51*V51)),IF(S51="Impacto",K51,"")),"")</f>
        <v/>
      </c>
      <c r="AA51" s="131" t="str">
        <f>IFERROR(IF(Z51="","",IF(Z51&lt;=0.2,"Muy Baja",IF(Z51&lt;=0.4,"Baja",IF(Z51&lt;=0.6,"Media",IF(Z51&lt;=0.8,"Alta","Muy Alta"))))),"")</f>
        <v/>
      </c>
      <c r="AB51" s="132" t="str">
        <f>+Z51</f>
        <v/>
      </c>
      <c r="AC51" s="131" t="str">
        <f>IFERROR(IF(AD51="","",IF(AD51&lt;=0.2,"Leve",IF(AD51&lt;=0.4,"Menor",IF(AD51&lt;=0.6,"Moderado",IF(AD51&lt;=0.8,"Mayor","Catastrófico"))))),"")</f>
        <v/>
      </c>
      <c r="AD51" s="140" t="str">
        <f>IFERROR(IF(S51="Impacto",(O51-(+O51*V51)),IF(S51="Probabilidad",O51,"")),"")</f>
        <v/>
      </c>
      <c r="AE51" s="133" t="str">
        <f>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34"/>
      <c r="AG51" s="135"/>
      <c r="AH51" s="136"/>
      <c r="AI51" s="137"/>
      <c r="AJ51" s="137"/>
      <c r="AK51" s="135"/>
      <c r="AL51" s="13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151.5" customHeight="1" x14ac:dyDescent="0.3">
      <c r="A52" s="266"/>
      <c r="B52" s="225"/>
      <c r="C52" s="225"/>
      <c r="D52" s="142"/>
      <c r="E52" s="225"/>
      <c r="F52" s="269"/>
      <c r="G52" s="269"/>
      <c r="H52" s="225"/>
      <c r="I52" s="228"/>
      <c r="J52" s="231"/>
      <c r="K52" s="234"/>
      <c r="L52" s="237"/>
      <c r="M52" s="234">
        <f ca="1">IF(NOT(ISERROR(MATCH(L52,_xlfn.ANCHORARRAY(G63),0))),K65&amp;"Por favor no seleccionar los criterios de impacto",L52)</f>
        <v>0</v>
      </c>
      <c r="N52" s="231"/>
      <c r="O52" s="234"/>
      <c r="P52" s="222"/>
      <c r="Q52" s="125">
        <v>2</v>
      </c>
      <c r="R52" s="126"/>
      <c r="S52" s="127" t="str">
        <f>IF(OR(T52="Preventivo",T52="Detectivo"),"Probabilidad",IF(T52="Correctivo","Impacto",""))</f>
        <v/>
      </c>
      <c r="T52" s="128"/>
      <c r="U52" s="128"/>
      <c r="V52" s="129" t="str">
        <f t="shared" ref="V52:V56" si="48">IF(AND(T52="Preventivo",U52="Automático"),"50%",IF(AND(T52="Preventivo",U52="Manual"),"40%",IF(AND(T52="Detectivo",U52="Automático"),"40%",IF(AND(T52="Detectivo",U52="Manual"),"30%",IF(AND(T52="Correctivo",U52="Automático"),"35%",IF(AND(T52="Correctivo",U52="Manual"),"25%",""))))))</f>
        <v/>
      </c>
      <c r="W52" s="128"/>
      <c r="X52" s="128"/>
      <c r="Y52" s="128"/>
      <c r="Z52" s="130" t="str">
        <f>IFERROR(IF(AND(S51="Probabilidad",S52="Probabilidad"),(AB51-(+AB51*V52)),IF(S52="Probabilidad",(K51-(+K51*V52)),IF(S52="Impacto",AB51,""))),"")</f>
        <v/>
      </c>
      <c r="AA52" s="131" t="str">
        <f t="shared" si="1"/>
        <v/>
      </c>
      <c r="AB52" s="132" t="str">
        <f t="shared" ref="AB52:AB56" si="49">+Z52</f>
        <v/>
      </c>
      <c r="AC52" s="131" t="str">
        <f t="shared" si="3"/>
        <v/>
      </c>
      <c r="AD52" s="140" t="str">
        <f>IFERROR(IF(AND(S51="Impacto",S52="Impacto"),(AD51-(+AD51*V52)),IF(S52="Impacto",(O51-(+O51*V52)),IF(S52="Probabilidad",AD51,""))),"")</f>
        <v/>
      </c>
      <c r="AE52" s="133" t="str">
        <f t="shared" ref="AE52:AE53" si="50">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34"/>
      <c r="AG52" s="135"/>
      <c r="AH52" s="136"/>
      <c r="AI52" s="137"/>
      <c r="AJ52" s="137"/>
      <c r="AK52" s="135"/>
      <c r="AL52" s="13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151.5" customHeight="1" x14ac:dyDescent="0.3">
      <c r="A53" s="266"/>
      <c r="B53" s="225"/>
      <c r="C53" s="225"/>
      <c r="D53" s="142"/>
      <c r="E53" s="225"/>
      <c r="F53" s="269"/>
      <c r="G53" s="269"/>
      <c r="H53" s="225"/>
      <c r="I53" s="228"/>
      <c r="J53" s="231"/>
      <c r="K53" s="234"/>
      <c r="L53" s="237"/>
      <c r="M53" s="234">
        <f ca="1">IF(NOT(ISERROR(MATCH(L53,_xlfn.ANCHORARRAY(G64),0))),K66&amp;"Por favor no seleccionar los criterios de impacto",L53)</f>
        <v>0</v>
      </c>
      <c r="N53" s="231"/>
      <c r="O53" s="234"/>
      <c r="P53" s="222"/>
      <c r="Q53" s="125">
        <v>3</v>
      </c>
      <c r="R53" s="138"/>
      <c r="S53" s="127" t="str">
        <f>IF(OR(T53="Preventivo",T53="Detectivo"),"Probabilidad",IF(T53="Correctivo","Impacto",""))</f>
        <v/>
      </c>
      <c r="T53" s="128"/>
      <c r="U53" s="128"/>
      <c r="V53" s="129" t="str">
        <f t="shared" si="48"/>
        <v/>
      </c>
      <c r="W53" s="128"/>
      <c r="X53" s="128"/>
      <c r="Y53" s="128"/>
      <c r="Z53" s="130" t="str">
        <f>IFERROR(IF(AND(S52="Probabilidad",S53="Probabilidad"),(AB52-(+AB52*V53)),IF(AND(S52="Impacto",S53="Probabilidad"),(AB51-(+AB51*V53)),IF(S53="Impacto",AB52,""))),"")</f>
        <v/>
      </c>
      <c r="AA53" s="131" t="str">
        <f t="shared" si="1"/>
        <v/>
      </c>
      <c r="AB53" s="132" t="str">
        <f t="shared" si="49"/>
        <v/>
      </c>
      <c r="AC53" s="131" t="str">
        <f t="shared" si="3"/>
        <v/>
      </c>
      <c r="AD53" s="140" t="str">
        <f>IFERROR(IF(AND(S52="Impacto",S53="Impacto"),(AD52-(+AD52*V53)),IF(AND(S52="Probabilidad",S53="Impacto"),(AD51-(+AD51*V53)),IF(S53="Probabilidad",AD52,""))),"")</f>
        <v/>
      </c>
      <c r="AE53" s="133" t="str">
        <f t="shared" si="50"/>
        <v/>
      </c>
      <c r="AF53" s="134"/>
      <c r="AG53" s="135"/>
      <c r="AH53" s="136"/>
      <c r="AI53" s="137"/>
      <c r="AJ53" s="137"/>
      <c r="AK53" s="135"/>
      <c r="AL53" s="13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151.5" customHeight="1" x14ac:dyDescent="0.3">
      <c r="A54" s="266"/>
      <c r="B54" s="225"/>
      <c r="C54" s="225"/>
      <c r="D54" s="142"/>
      <c r="E54" s="225"/>
      <c r="F54" s="269"/>
      <c r="G54" s="269"/>
      <c r="H54" s="225"/>
      <c r="I54" s="228"/>
      <c r="J54" s="231"/>
      <c r="K54" s="234"/>
      <c r="L54" s="237"/>
      <c r="M54" s="234">
        <f ca="1">IF(NOT(ISERROR(MATCH(L54,_xlfn.ANCHORARRAY(G65),0))),K67&amp;"Por favor no seleccionar los criterios de impacto",L54)</f>
        <v>0</v>
      </c>
      <c r="N54" s="231"/>
      <c r="O54" s="234"/>
      <c r="P54" s="222"/>
      <c r="Q54" s="125">
        <v>4</v>
      </c>
      <c r="R54" s="126"/>
      <c r="S54" s="127" t="str">
        <f t="shared" ref="S54:S56" si="51">IF(OR(T54="Preventivo",T54="Detectivo"),"Probabilidad",IF(T54="Correctivo","Impacto",""))</f>
        <v/>
      </c>
      <c r="T54" s="128"/>
      <c r="U54" s="128"/>
      <c r="V54" s="129" t="str">
        <f t="shared" si="48"/>
        <v/>
      </c>
      <c r="W54" s="128"/>
      <c r="X54" s="128"/>
      <c r="Y54" s="128"/>
      <c r="Z54" s="130" t="str">
        <f t="shared" ref="Z54:Z56" si="52">IFERROR(IF(AND(S53="Probabilidad",S54="Probabilidad"),(AB53-(+AB53*V54)),IF(AND(S53="Impacto",S54="Probabilidad"),(AB52-(+AB52*V54)),IF(S54="Impacto",AB53,""))),"")</f>
        <v/>
      </c>
      <c r="AA54" s="131" t="str">
        <f t="shared" si="1"/>
        <v/>
      </c>
      <c r="AB54" s="132" t="str">
        <f t="shared" si="49"/>
        <v/>
      </c>
      <c r="AC54" s="131" t="str">
        <f t="shared" si="3"/>
        <v/>
      </c>
      <c r="AD54" s="140" t="str">
        <f t="shared" ref="AD54:AD56" si="53">IFERROR(IF(AND(S53="Impacto",S54="Impacto"),(AD53-(+AD53*V54)),IF(AND(S53="Probabilidad",S54="Impacto"),(AD52-(+AD52*V54)),IF(S54="Probabilidad",AD53,""))),"")</f>
        <v/>
      </c>
      <c r="AE54" s="133" t="str">
        <f>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34"/>
      <c r="AG54" s="135"/>
      <c r="AH54" s="136"/>
      <c r="AI54" s="137"/>
      <c r="AJ54" s="137"/>
      <c r="AK54" s="135"/>
      <c r="AL54" s="13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151.5" customHeight="1" x14ac:dyDescent="0.3">
      <c r="A55" s="266"/>
      <c r="B55" s="225"/>
      <c r="C55" s="225"/>
      <c r="D55" s="142"/>
      <c r="E55" s="225"/>
      <c r="F55" s="269"/>
      <c r="G55" s="269"/>
      <c r="H55" s="225"/>
      <c r="I55" s="228"/>
      <c r="J55" s="231"/>
      <c r="K55" s="234"/>
      <c r="L55" s="237"/>
      <c r="M55" s="234">
        <f ca="1">IF(NOT(ISERROR(MATCH(L55,_xlfn.ANCHORARRAY(G66),0))),K68&amp;"Por favor no seleccionar los criterios de impacto",L55)</f>
        <v>0</v>
      </c>
      <c r="N55" s="231"/>
      <c r="O55" s="234"/>
      <c r="P55" s="222"/>
      <c r="Q55" s="125">
        <v>5</v>
      </c>
      <c r="R55" s="126"/>
      <c r="S55" s="127" t="str">
        <f t="shared" si="51"/>
        <v/>
      </c>
      <c r="T55" s="128"/>
      <c r="U55" s="128"/>
      <c r="V55" s="129" t="str">
        <f t="shared" si="48"/>
        <v/>
      </c>
      <c r="W55" s="128"/>
      <c r="X55" s="128"/>
      <c r="Y55" s="128"/>
      <c r="Z55" s="130" t="str">
        <f t="shared" si="52"/>
        <v/>
      </c>
      <c r="AA55" s="131" t="str">
        <f t="shared" si="1"/>
        <v/>
      </c>
      <c r="AB55" s="132" t="str">
        <f t="shared" si="49"/>
        <v/>
      </c>
      <c r="AC55" s="131" t="str">
        <f t="shared" si="3"/>
        <v/>
      </c>
      <c r="AD55" s="140" t="str">
        <f t="shared" si="53"/>
        <v/>
      </c>
      <c r="AE55" s="133" t="str">
        <f t="shared" ref="AE55:AE56" si="54">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34"/>
      <c r="AG55" s="135"/>
      <c r="AH55" s="136"/>
      <c r="AI55" s="137"/>
      <c r="AJ55" s="137"/>
      <c r="AK55" s="135"/>
      <c r="AL55" s="13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151.5" customHeight="1" x14ac:dyDescent="0.3">
      <c r="A56" s="267"/>
      <c r="B56" s="226"/>
      <c r="C56" s="226"/>
      <c r="D56" s="143"/>
      <c r="E56" s="226"/>
      <c r="F56" s="270"/>
      <c r="G56" s="270"/>
      <c r="H56" s="226"/>
      <c r="I56" s="229"/>
      <c r="J56" s="232"/>
      <c r="K56" s="235"/>
      <c r="L56" s="238"/>
      <c r="M56" s="235">
        <f ca="1">IF(NOT(ISERROR(MATCH(L56,_xlfn.ANCHORARRAY(G67),0))),K69&amp;"Por favor no seleccionar los criterios de impacto",L56)</f>
        <v>0</v>
      </c>
      <c r="N56" s="232"/>
      <c r="O56" s="235"/>
      <c r="P56" s="223"/>
      <c r="Q56" s="125">
        <v>6</v>
      </c>
      <c r="R56" s="126"/>
      <c r="S56" s="127" t="str">
        <f t="shared" si="51"/>
        <v/>
      </c>
      <c r="T56" s="128"/>
      <c r="U56" s="128"/>
      <c r="V56" s="129" t="str">
        <f t="shared" si="48"/>
        <v/>
      </c>
      <c r="W56" s="128"/>
      <c r="X56" s="128"/>
      <c r="Y56" s="128"/>
      <c r="Z56" s="130" t="str">
        <f t="shared" si="52"/>
        <v/>
      </c>
      <c r="AA56" s="131" t="str">
        <f t="shared" si="1"/>
        <v/>
      </c>
      <c r="AB56" s="132" t="str">
        <f t="shared" si="49"/>
        <v/>
      </c>
      <c r="AC56" s="131" t="str">
        <f t="shared" si="3"/>
        <v/>
      </c>
      <c r="AD56" s="140" t="str">
        <f t="shared" si="53"/>
        <v/>
      </c>
      <c r="AE56" s="133" t="str">
        <f t="shared" si="54"/>
        <v/>
      </c>
      <c r="AF56" s="134"/>
      <c r="AG56" s="135"/>
      <c r="AH56" s="136"/>
      <c r="AI56" s="137"/>
      <c r="AJ56" s="137"/>
      <c r="AK56" s="135"/>
      <c r="AL56" s="13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151.5" customHeight="1" x14ac:dyDescent="0.3">
      <c r="A57" s="265">
        <v>9</v>
      </c>
      <c r="B57" s="224"/>
      <c r="C57" s="224"/>
      <c r="D57" s="141"/>
      <c r="E57" s="224"/>
      <c r="F57" s="268"/>
      <c r="G57" s="268"/>
      <c r="H57" s="224"/>
      <c r="I57" s="227"/>
      <c r="J57" s="230" t="str">
        <f>IF(I57&lt;=0,"",IF(I57&lt;=2,"Muy Baja",IF(I57&lt;=24,"Baja",IF(I57&lt;=500,"Media",IF(I57&lt;=5000,"Alta","Muy Alta")))))</f>
        <v/>
      </c>
      <c r="K57" s="233" t="str">
        <f>IF(J57="","",IF(J57="Muy Baja",0.2,IF(J57="Baja",0.4,IF(J57="Media",0.6,IF(J57="Alta",0.8,IF(J57="Muy Alta",1,))))))</f>
        <v/>
      </c>
      <c r="L57" s="236"/>
      <c r="M57" s="233">
        <f ca="1">IF(NOT(ISERROR(MATCH(L57,'Tabla Impacto'!$B$221:$B$223,0))),'Tabla Impacto'!$F$223&amp;"Por favor no seleccionar los criterios de impacto(Afectación Económica o presupuestal y Pérdida Reputacional)",L57)</f>
        <v>0</v>
      </c>
      <c r="N57" s="230" t="str">
        <f ca="1">IF(OR(M57='Tabla Impacto'!$C$11,M57='Tabla Impacto'!$D$11),"Leve",IF(OR(M57='Tabla Impacto'!$C$12,M57='Tabla Impacto'!$D$12),"Menor",IF(OR(M57='Tabla Impacto'!$C$13,M57='Tabla Impacto'!$D$13),"Moderado",IF(OR(M57='Tabla Impacto'!$C$14,M57='Tabla Impacto'!$D$14),"Mayor",IF(OR(M57='Tabla Impacto'!$C$15,M57='Tabla Impacto'!$D$15),"Catastrófico","")))))</f>
        <v/>
      </c>
      <c r="O57" s="233" t="str">
        <f ca="1">IF(N57="","",IF(N57="Leve",0.2,IF(N57="Menor",0.4,IF(N57="Moderado",0.6,IF(N57="Mayor",0.8,IF(N57="Catastrófico",1,))))))</f>
        <v/>
      </c>
      <c r="P57" s="221" t="str">
        <f ca="1">IF(OR(AND(J57="Muy Baja",N57="Leve"),AND(J57="Muy Baja",N57="Menor"),AND(J57="Baja",N57="Leve")),"Bajo",IF(OR(AND(J57="Muy baja",N57="Moderado"),AND(J57="Baja",N57="Menor"),AND(J57="Baja",N57="Moderado"),AND(J57="Media",N57="Leve"),AND(J57="Media",N57="Menor"),AND(J57="Media",N57="Moderado"),AND(J57="Alta",N57="Leve"),AND(J57="Alta",N57="Menor")),"Moderado",IF(OR(AND(J57="Muy Baja",N57="Mayor"),AND(J57="Baja",N57="Mayor"),AND(J57="Media",N57="Mayor"),AND(J57="Alta",N57="Moderado"),AND(J57="Alta",N57="Mayor"),AND(J57="Muy Alta",N57="Leve"),AND(J57="Muy Alta",N57="Menor"),AND(J57="Muy Alta",N57="Moderado"),AND(J57="Muy Alta",N57="Mayor")),"Alto",IF(OR(AND(J57="Muy Baja",N57="Catastrófico"),AND(J57="Baja",N57="Catastrófico"),AND(J57="Media",N57="Catastrófico"),AND(J57="Alta",N57="Catastrófico"),AND(J57="Muy Alta",N57="Catastrófico")),"Extremo",""))))</f>
        <v/>
      </c>
      <c r="Q57" s="125">
        <v>1</v>
      </c>
      <c r="R57" s="126"/>
      <c r="S57" s="127" t="str">
        <f>IF(OR(T57="Preventivo",T57="Detectivo"),"Probabilidad",IF(T57="Correctivo","Impacto",""))</f>
        <v/>
      </c>
      <c r="T57" s="128"/>
      <c r="U57" s="128"/>
      <c r="V57" s="129" t="str">
        <f>IF(AND(T57="Preventivo",U57="Automático"),"50%",IF(AND(T57="Preventivo",U57="Manual"),"40%",IF(AND(T57="Detectivo",U57="Automático"),"40%",IF(AND(T57="Detectivo",U57="Manual"),"30%",IF(AND(T57="Correctivo",U57="Automático"),"35%",IF(AND(T57="Correctivo",U57="Manual"),"25%",""))))))</f>
        <v/>
      </c>
      <c r="W57" s="128"/>
      <c r="X57" s="128"/>
      <c r="Y57" s="128"/>
      <c r="Z57" s="130" t="str">
        <f>IFERROR(IF(S57="Probabilidad",(K57-(+K57*V57)),IF(S57="Impacto",K57,"")),"")</f>
        <v/>
      </c>
      <c r="AA57" s="131" t="str">
        <f>IFERROR(IF(Z57="","",IF(Z57&lt;=0.2,"Muy Baja",IF(Z57&lt;=0.4,"Baja",IF(Z57&lt;=0.6,"Media",IF(Z57&lt;=0.8,"Alta","Muy Alta"))))),"")</f>
        <v/>
      </c>
      <c r="AB57" s="132" t="str">
        <f>+Z57</f>
        <v/>
      </c>
      <c r="AC57" s="131" t="str">
        <f>IFERROR(IF(AD57="","",IF(AD57&lt;=0.2,"Leve",IF(AD57&lt;=0.4,"Menor",IF(AD57&lt;=0.6,"Moderado",IF(AD57&lt;=0.8,"Mayor","Catastrófico"))))),"")</f>
        <v/>
      </c>
      <c r="AD57" s="140" t="str">
        <f>IFERROR(IF(S57="Impacto",(O57-(+O57*V57)),IF(S57="Probabilidad",O57,"")),"")</f>
        <v/>
      </c>
      <c r="AE57" s="133" t="str">
        <f>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34"/>
      <c r="AG57" s="135"/>
      <c r="AH57" s="136"/>
      <c r="AI57" s="137"/>
      <c r="AJ57" s="137"/>
      <c r="AK57" s="135"/>
      <c r="AL57" s="13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151.5" customHeight="1" x14ac:dyDescent="0.3">
      <c r="A58" s="266"/>
      <c r="B58" s="225"/>
      <c r="C58" s="225"/>
      <c r="D58" s="142"/>
      <c r="E58" s="225"/>
      <c r="F58" s="269"/>
      <c r="G58" s="269"/>
      <c r="H58" s="225"/>
      <c r="I58" s="228"/>
      <c r="J58" s="231"/>
      <c r="K58" s="234"/>
      <c r="L58" s="237"/>
      <c r="M58" s="234">
        <f ca="1">IF(NOT(ISERROR(MATCH(L58,_xlfn.ANCHORARRAY(E69),0))),K71&amp;"Por favor no seleccionar los criterios de impacto",L58)</f>
        <v>0</v>
      </c>
      <c r="N58" s="231"/>
      <c r="O58" s="234"/>
      <c r="P58" s="222"/>
      <c r="Q58" s="125">
        <v>2</v>
      </c>
      <c r="R58" s="126"/>
      <c r="S58" s="127" t="str">
        <f>IF(OR(T58="Preventivo",T58="Detectivo"),"Probabilidad",IF(T58="Correctivo","Impacto",""))</f>
        <v/>
      </c>
      <c r="T58" s="128"/>
      <c r="U58" s="128"/>
      <c r="V58" s="129" t="str">
        <f t="shared" ref="V58:V62" si="55">IF(AND(T58="Preventivo",U58="Automático"),"50%",IF(AND(T58="Preventivo",U58="Manual"),"40%",IF(AND(T58="Detectivo",U58="Automático"),"40%",IF(AND(T58="Detectivo",U58="Manual"),"30%",IF(AND(T58="Correctivo",U58="Automático"),"35%",IF(AND(T58="Correctivo",U58="Manual"),"25%",""))))))</f>
        <v/>
      </c>
      <c r="W58" s="128"/>
      <c r="X58" s="128"/>
      <c r="Y58" s="128"/>
      <c r="Z58" s="130" t="str">
        <f>IFERROR(IF(AND(S57="Probabilidad",S58="Probabilidad"),(AB57-(+AB57*V58)),IF(S58="Probabilidad",(K57-(+K57*V58)),IF(S58="Impacto",AB57,""))),"")</f>
        <v/>
      </c>
      <c r="AA58" s="131" t="str">
        <f t="shared" si="1"/>
        <v/>
      </c>
      <c r="AB58" s="132" t="str">
        <f t="shared" ref="AB58:AB62" si="56">+Z58</f>
        <v/>
      </c>
      <c r="AC58" s="131" t="str">
        <f t="shared" si="3"/>
        <v/>
      </c>
      <c r="AD58" s="140" t="str">
        <f>IFERROR(IF(AND(S57="Impacto",S58="Impacto"),(AD57-(+AD57*V58)),IF(S58="Impacto",(O57-(+O57*V58)),IF(S58="Probabilidad",AD57,""))),"")</f>
        <v/>
      </c>
      <c r="AE58" s="133" t="str">
        <f t="shared" ref="AE58:AE59" si="57">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34"/>
      <c r="AG58" s="135"/>
      <c r="AH58" s="136"/>
      <c r="AI58" s="137"/>
      <c r="AJ58" s="137"/>
      <c r="AK58" s="135"/>
      <c r="AL58" s="13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151.5" customHeight="1" x14ac:dyDescent="0.3">
      <c r="A59" s="266"/>
      <c r="B59" s="225"/>
      <c r="C59" s="225"/>
      <c r="D59" s="142"/>
      <c r="E59" s="225"/>
      <c r="F59" s="269"/>
      <c r="G59" s="269"/>
      <c r="H59" s="225"/>
      <c r="I59" s="228"/>
      <c r="J59" s="231"/>
      <c r="K59" s="234"/>
      <c r="L59" s="237"/>
      <c r="M59" s="234">
        <f ca="1">IF(NOT(ISERROR(MATCH(L59,_xlfn.ANCHORARRAY(E70),0))),K72&amp;"Por favor no seleccionar los criterios de impacto",L59)</f>
        <v>0</v>
      </c>
      <c r="N59" s="231"/>
      <c r="O59" s="234"/>
      <c r="P59" s="222"/>
      <c r="Q59" s="125">
        <v>3</v>
      </c>
      <c r="R59" s="138"/>
      <c r="S59" s="127" t="str">
        <f>IF(OR(T59="Preventivo",T59="Detectivo"),"Probabilidad",IF(T59="Correctivo","Impacto",""))</f>
        <v/>
      </c>
      <c r="T59" s="128"/>
      <c r="U59" s="128"/>
      <c r="V59" s="129" t="str">
        <f t="shared" si="55"/>
        <v/>
      </c>
      <c r="W59" s="128"/>
      <c r="X59" s="128"/>
      <c r="Y59" s="128"/>
      <c r="Z59" s="130" t="str">
        <f>IFERROR(IF(AND(S58="Probabilidad",S59="Probabilidad"),(AB58-(+AB58*V59)),IF(AND(S58="Impacto",S59="Probabilidad"),(AB57-(+AB57*V59)),IF(S59="Impacto",AB58,""))),"")</f>
        <v/>
      </c>
      <c r="AA59" s="131" t="str">
        <f t="shared" si="1"/>
        <v/>
      </c>
      <c r="AB59" s="132" t="str">
        <f t="shared" si="56"/>
        <v/>
      </c>
      <c r="AC59" s="131" t="str">
        <f t="shared" si="3"/>
        <v/>
      </c>
      <c r="AD59" s="140" t="str">
        <f>IFERROR(IF(AND(S58="Impacto",S59="Impacto"),(AD58-(+AD58*V59)),IF(AND(S58="Probabilidad",S59="Impacto"),(AD57-(+AD57*V59)),IF(S59="Probabilidad",AD58,""))),"")</f>
        <v/>
      </c>
      <c r="AE59" s="133" t="str">
        <f t="shared" si="57"/>
        <v/>
      </c>
      <c r="AF59" s="134"/>
      <c r="AG59" s="135"/>
      <c r="AH59" s="136"/>
      <c r="AI59" s="137"/>
      <c r="AJ59" s="137"/>
      <c r="AK59" s="135"/>
      <c r="AL59" s="13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51.5" customHeight="1" x14ac:dyDescent="0.3">
      <c r="A60" s="266"/>
      <c r="B60" s="225"/>
      <c r="C60" s="225"/>
      <c r="D60" s="142"/>
      <c r="E60" s="225"/>
      <c r="F60" s="269"/>
      <c r="G60" s="269"/>
      <c r="H60" s="225"/>
      <c r="I60" s="228"/>
      <c r="J60" s="231"/>
      <c r="K60" s="234"/>
      <c r="L60" s="237"/>
      <c r="M60" s="234">
        <f ca="1">IF(NOT(ISERROR(MATCH(L60,_xlfn.ANCHORARRAY(E71),0))),K73&amp;"Por favor no seleccionar los criterios de impacto",L60)</f>
        <v>0</v>
      </c>
      <c r="N60" s="231"/>
      <c r="O60" s="234"/>
      <c r="P60" s="222"/>
      <c r="Q60" s="125">
        <v>4</v>
      </c>
      <c r="R60" s="126"/>
      <c r="S60" s="127" t="str">
        <f t="shared" ref="S60:S62" si="58">IF(OR(T60="Preventivo",T60="Detectivo"),"Probabilidad",IF(T60="Correctivo","Impacto",""))</f>
        <v/>
      </c>
      <c r="T60" s="128"/>
      <c r="U60" s="128"/>
      <c r="V60" s="129" t="str">
        <f t="shared" si="55"/>
        <v/>
      </c>
      <c r="W60" s="128"/>
      <c r="X60" s="128"/>
      <c r="Y60" s="128"/>
      <c r="Z60" s="130" t="str">
        <f t="shared" ref="Z60:Z62" si="59">IFERROR(IF(AND(S59="Probabilidad",S60="Probabilidad"),(AB59-(+AB59*V60)),IF(AND(S59="Impacto",S60="Probabilidad"),(AB58-(+AB58*V60)),IF(S60="Impacto",AB59,""))),"")</f>
        <v/>
      </c>
      <c r="AA60" s="131" t="str">
        <f t="shared" si="1"/>
        <v/>
      </c>
      <c r="AB60" s="132" t="str">
        <f t="shared" si="56"/>
        <v/>
      </c>
      <c r="AC60" s="131" t="str">
        <f t="shared" si="3"/>
        <v/>
      </c>
      <c r="AD60" s="140" t="str">
        <f t="shared" ref="AD60:AD62" si="60">IFERROR(IF(AND(S59="Impacto",S60="Impacto"),(AD59-(+AD59*V60)),IF(AND(S59="Probabilidad",S60="Impacto"),(AD58-(+AD58*V60)),IF(S60="Probabilidad",AD59,""))),"")</f>
        <v/>
      </c>
      <c r="AE60" s="133" t="str">
        <f>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34"/>
      <c r="AG60" s="135"/>
      <c r="AH60" s="136"/>
      <c r="AI60" s="137"/>
      <c r="AJ60" s="137"/>
      <c r="AK60" s="135"/>
      <c r="AL60" s="13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51.5" customHeight="1" x14ac:dyDescent="0.3">
      <c r="A61" s="266"/>
      <c r="B61" s="225"/>
      <c r="C61" s="225"/>
      <c r="D61" s="142"/>
      <c r="E61" s="225"/>
      <c r="F61" s="269"/>
      <c r="G61" s="269"/>
      <c r="H61" s="225"/>
      <c r="I61" s="228"/>
      <c r="J61" s="231"/>
      <c r="K61" s="234"/>
      <c r="L61" s="237"/>
      <c r="M61" s="234">
        <f ca="1">IF(NOT(ISERROR(MATCH(L61,_xlfn.ANCHORARRAY(E72),0))),K74&amp;"Por favor no seleccionar los criterios de impacto",L61)</f>
        <v>0</v>
      </c>
      <c r="N61" s="231"/>
      <c r="O61" s="234"/>
      <c r="P61" s="222"/>
      <c r="Q61" s="125">
        <v>5</v>
      </c>
      <c r="R61" s="126"/>
      <c r="S61" s="127" t="str">
        <f t="shared" si="58"/>
        <v/>
      </c>
      <c r="T61" s="128"/>
      <c r="U61" s="128"/>
      <c r="V61" s="129" t="str">
        <f t="shared" si="55"/>
        <v/>
      </c>
      <c r="W61" s="128"/>
      <c r="X61" s="128"/>
      <c r="Y61" s="128"/>
      <c r="Z61" s="130" t="str">
        <f t="shared" si="59"/>
        <v/>
      </c>
      <c r="AA61" s="131" t="str">
        <f t="shared" si="1"/>
        <v/>
      </c>
      <c r="AB61" s="132" t="str">
        <f t="shared" si="56"/>
        <v/>
      </c>
      <c r="AC61" s="131" t="str">
        <f t="shared" si="3"/>
        <v/>
      </c>
      <c r="AD61" s="140" t="str">
        <f t="shared" si="60"/>
        <v/>
      </c>
      <c r="AE61" s="133" t="str">
        <f t="shared" ref="AE61:AE62" si="61">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34"/>
      <c r="AG61" s="135"/>
      <c r="AH61" s="136"/>
      <c r="AI61" s="137"/>
      <c r="AJ61" s="137"/>
      <c r="AK61" s="135"/>
      <c r="AL61" s="136"/>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151.5" customHeight="1" x14ac:dyDescent="0.3">
      <c r="A62" s="267"/>
      <c r="B62" s="226"/>
      <c r="C62" s="226"/>
      <c r="D62" s="143"/>
      <c r="E62" s="226"/>
      <c r="F62" s="270"/>
      <c r="G62" s="270"/>
      <c r="H62" s="226"/>
      <c r="I62" s="229"/>
      <c r="J62" s="232"/>
      <c r="K62" s="235"/>
      <c r="L62" s="238"/>
      <c r="M62" s="235">
        <f ca="1">IF(NOT(ISERROR(MATCH(L62,_xlfn.ANCHORARRAY(E73),0))),K75&amp;"Por favor no seleccionar los criterios de impacto",L62)</f>
        <v>0</v>
      </c>
      <c r="N62" s="232"/>
      <c r="O62" s="235"/>
      <c r="P62" s="223"/>
      <c r="Q62" s="125">
        <v>6</v>
      </c>
      <c r="R62" s="126"/>
      <c r="S62" s="127" t="str">
        <f t="shared" si="58"/>
        <v/>
      </c>
      <c r="T62" s="128"/>
      <c r="U62" s="128"/>
      <c r="V62" s="129" t="str">
        <f t="shared" si="55"/>
        <v/>
      </c>
      <c r="W62" s="128"/>
      <c r="X62" s="128"/>
      <c r="Y62" s="128"/>
      <c r="Z62" s="130" t="str">
        <f t="shared" si="59"/>
        <v/>
      </c>
      <c r="AA62" s="131" t="str">
        <f t="shared" si="1"/>
        <v/>
      </c>
      <c r="AB62" s="132" t="str">
        <f t="shared" si="56"/>
        <v/>
      </c>
      <c r="AC62" s="131" t="str">
        <f t="shared" si="3"/>
        <v/>
      </c>
      <c r="AD62" s="140" t="str">
        <f t="shared" si="60"/>
        <v/>
      </c>
      <c r="AE62" s="133" t="str">
        <f t="shared" si="61"/>
        <v/>
      </c>
      <c r="AF62" s="134"/>
      <c r="AG62" s="135"/>
      <c r="AH62" s="136"/>
      <c r="AI62" s="137"/>
      <c r="AJ62" s="137"/>
      <c r="AK62" s="135"/>
      <c r="AL62" s="136"/>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151.5" customHeight="1" x14ac:dyDescent="0.3">
      <c r="A63" s="265">
        <v>10</v>
      </c>
      <c r="B63" s="224"/>
      <c r="C63" s="224"/>
      <c r="D63" s="141"/>
      <c r="E63" s="224"/>
      <c r="F63" s="268"/>
      <c r="G63" s="268"/>
      <c r="H63" s="224"/>
      <c r="I63" s="227"/>
      <c r="J63" s="230" t="str">
        <f>IF(I63&lt;=0,"",IF(I63&lt;=2,"Muy Baja",IF(I63&lt;=24,"Baja",IF(I63&lt;=500,"Media",IF(I63&lt;=5000,"Alta","Muy Alta")))))</f>
        <v/>
      </c>
      <c r="K63" s="233" t="str">
        <f>IF(J63="","",IF(J63="Muy Baja",0.2,IF(J63="Baja",0.4,IF(J63="Media",0.6,IF(J63="Alta",0.8,IF(J63="Muy Alta",1,))))))</f>
        <v/>
      </c>
      <c r="L63" s="236"/>
      <c r="M63" s="233">
        <f ca="1">IF(NOT(ISERROR(MATCH(L63,'Tabla Impacto'!$B$221:$B$223,0))),'Tabla Impacto'!$F$223&amp;"Por favor no seleccionar los criterios de impacto(Afectación Económica o presupuestal y Pérdida Reputacional)",L63)</f>
        <v>0</v>
      </c>
      <c r="N63" s="230" t="str">
        <f ca="1">IF(OR(M63='Tabla Impacto'!$C$11,M63='Tabla Impacto'!$D$11),"Leve",IF(OR(M63='Tabla Impacto'!$C$12,M63='Tabla Impacto'!$D$12),"Menor",IF(OR(M63='Tabla Impacto'!$C$13,M63='Tabla Impacto'!$D$13),"Moderado",IF(OR(M63='Tabla Impacto'!$C$14,M63='Tabla Impacto'!$D$14),"Mayor",IF(OR(M63='Tabla Impacto'!$C$15,M63='Tabla Impacto'!$D$15),"Catastrófico","")))))</f>
        <v/>
      </c>
      <c r="O63" s="233" t="str">
        <f ca="1">IF(N63="","",IF(N63="Leve",0.2,IF(N63="Menor",0.4,IF(N63="Moderado",0.6,IF(N63="Mayor",0.8,IF(N63="Catastrófico",1,))))))</f>
        <v/>
      </c>
      <c r="P63" s="221" t="str">
        <f ca="1">IF(OR(AND(J63="Muy Baja",N63="Leve"),AND(J63="Muy Baja",N63="Menor"),AND(J63="Baja",N63="Leve")),"Bajo",IF(OR(AND(J63="Muy baja",N63="Moderado"),AND(J63="Baja",N63="Menor"),AND(J63="Baja",N63="Moderado"),AND(J63="Media",N63="Leve"),AND(J63="Media",N63="Menor"),AND(J63="Media",N63="Moderado"),AND(J63="Alta",N63="Leve"),AND(J63="Alta",N63="Menor")),"Moderado",IF(OR(AND(J63="Muy Baja",N63="Mayor"),AND(J63="Baja",N63="Mayor"),AND(J63="Media",N63="Mayor"),AND(J63="Alta",N63="Moderado"),AND(J63="Alta",N63="Mayor"),AND(J63="Muy Alta",N63="Leve"),AND(J63="Muy Alta",N63="Menor"),AND(J63="Muy Alta",N63="Moderado"),AND(J63="Muy Alta",N63="Mayor")),"Alto",IF(OR(AND(J63="Muy Baja",N63="Catastrófico"),AND(J63="Baja",N63="Catastrófico"),AND(J63="Media",N63="Catastrófico"),AND(J63="Alta",N63="Catastrófico"),AND(J63="Muy Alta",N63="Catastrófico")),"Extremo",""))))</f>
        <v/>
      </c>
      <c r="Q63" s="125">
        <v>1</v>
      </c>
      <c r="R63" s="126"/>
      <c r="S63" s="127" t="str">
        <f>IF(OR(T63="Preventivo",T63="Detectivo"),"Probabilidad",IF(T63="Correctivo","Impacto",""))</f>
        <v/>
      </c>
      <c r="T63" s="128"/>
      <c r="U63" s="128"/>
      <c r="V63" s="129" t="str">
        <f>IF(AND(T63="Preventivo",U63="Automático"),"50%",IF(AND(T63="Preventivo",U63="Manual"),"40%",IF(AND(T63="Detectivo",U63="Automático"),"40%",IF(AND(T63="Detectivo",U63="Manual"),"30%",IF(AND(T63="Correctivo",U63="Automático"),"35%",IF(AND(T63="Correctivo",U63="Manual"),"25%",""))))))</f>
        <v/>
      </c>
      <c r="W63" s="128"/>
      <c r="X63" s="128"/>
      <c r="Y63" s="128"/>
      <c r="Z63" s="130" t="str">
        <f>IFERROR(IF(S63="Probabilidad",(K63-(+K63*V63)),IF(S63="Impacto",K63,"")),"")</f>
        <v/>
      </c>
      <c r="AA63" s="131" t="str">
        <f>IFERROR(IF(Z63="","",IF(Z63&lt;=0.2,"Muy Baja",IF(Z63&lt;=0.4,"Baja",IF(Z63&lt;=0.6,"Media",IF(Z63&lt;=0.8,"Alta","Muy Alta"))))),"")</f>
        <v/>
      </c>
      <c r="AB63" s="132" t="str">
        <f>+Z63</f>
        <v/>
      </c>
      <c r="AC63" s="131" t="str">
        <f>IFERROR(IF(AD63="","",IF(AD63&lt;=0.2,"Leve",IF(AD63&lt;=0.4,"Menor",IF(AD63&lt;=0.6,"Moderado",IF(AD63&lt;=0.8,"Mayor","Catastrófico"))))),"")</f>
        <v/>
      </c>
      <c r="AD63" s="140" t="str">
        <f>IFERROR(IF(S63="Impacto",(O63-(+O63*V63)),IF(S63="Probabilidad",O63,"")),"")</f>
        <v/>
      </c>
      <c r="AE63" s="133" t="str">
        <f>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34"/>
      <c r="AG63" s="135"/>
      <c r="AH63" s="136"/>
      <c r="AI63" s="137"/>
      <c r="AJ63" s="137"/>
      <c r="AK63" s="135"/>
      <c r="AL63" s="136"/>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51.5" customHeight="1" x14ac:dyDescent="0.3">
      <c r="A64" s="266"/>
      <c r="B64" s="225"/>
      <c r="C64" s="225"/>
      <c r="D64" s="142"/>
      <c r="E64" s="225"/>
      <c r="F64" s="269"/>
      <c r="G64" s="269"/>
      <c r="H64" s="225"/>
      <c r="I64" s="228"/>
      <c r="J64" s="231"/>
      <c r="K64" s="234"/>
      <c r="L64" s="237"/>
      <c r="M64" s="234">
        <f ca="1">IF(NOT(ISERROR(MATCH(L64,_xlfn.ANCHORARRAY(E75),0))),K77&amp;"Por favor no seleccionar los criterios de impacto",L64)</f>
        <v>0</v>
      </c>
      <c r="N64" s="231"/>
      <c r="O64" s="234"/>
      <c r="P64" s="222"/>
      <c r="Q64" s="125">
        <v>2</v>
      </c>
      <c r="R64" s="126"/>
      <c r="S64" s="127" t="str">
        <f>IF(OR(T64="Preventivo",T64="Detectivo"),"Probabilidad",IF(T64="Correctivo","Impacto",""))</f>
        <v/>
      </c>
      <c r="T64" s="128"/>
      <c r="U64" s="128"/>
      <c r="V64" s="129" t="str">
        <f t="shared" ref="V64:V68" si="62">IF(AND(T64="Preventivo",U64="Automático"),"50%",IF(AND(T64="Preventivo",U64="Manual"),"40%",IF(AND(T64="Detectivo",U64="Automático"),"40%",IF(AND(T64="Detectivo",U64="Manual"),"30%",IF(AND(T64="Correctivo",U64="Automático"),"35%",IF(AND(T64="Correctivo",U64="Manual"),"25%",""))))))</f>
        <v/>
      </c>
      <c r="W64" s="128"/>
      <c r="X64" s="128"/>
      <c r="Y64" s="128"/>
      <c r="Z64" s="130" t="str">
        <f>IFERROR(IF(AND(S63="Probabilidad",S64="Probabilidad"),(AB63-(+AB63*V64)),IF(S64="Probabilidad",(K63-(+K63*V64)),IF(S64="Impacto",AB63,""))),"")</f>
        <v/>
      </c>
      <c r="AA64" s="131" t="str">
        <f t="shared" si="1"/>
        <v/>
      </c>
      <c r="AB64" s="132" t="str">
        <f t="shared" ref="AB64:AB68" si="63">+Z64</f>
        <v/>
      </c>
      <c r="AC64" s="131" t="str">
        <f t="shared" si="3"/>
        <v/>
      </c>
      <c r="AD64" s="140" t="str">
        <f>IFERROR(IF(AND(S63="Impacto",S64="Impacto"),(AD63-(+AD63*V64)),IF(S64="Impacto",(O63-(+O63*V64)),IF(S64="Probabilidad",AD63,""))),"")</f>
        <v/>
      </c>
      <c r="AE64" s="133" t="str">
        <f t="shared" ref="AE64:AE65" si="64">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34"/>
      <c r="AG64" s="135"/>
      <c r="AH64" s="136"/>
      <c r="AI64" s="137"/>
      <c r="AJ64" s="137"/>
      <c r="AK64" s="135"/>
      <c r="AL64" s="136"/>
    </row>
    <row r="65" spans="1:38" ht="151.5" customHeight="1" x14ac:dyDescent="0.3">
      <c r="A65" s="266"/>
      <c r="B65" s="225"/>
      <c r="C65" s="225"/>
      <c r="D65" s="142"/>
      <c r="E65" s="225"/>
      <c r="F65" s="269"/>
      <c r="G65" s="269"/>
      <c r="H65" s="225"/>
      <c r="I65" s="228"/>
      <c r="J65" s="231"/>
      <c r="K65" s="234"/>
      <c r="L65" s="237"/>
      <c r="M65" s="234">
        <f ca="1">IF(NOT(ISERROR(MATCH(L65,_xlfn.ANCHORARRAY(E76),0))),K78&amp;"Por favor no seleccionar los criterios de impacto",L65)</f>
        <v>0</v>
      </c>
      <c r="N65" s="231"/>
      <c r="O65" s="234"/>
      <c r="P65" s="222"/>
      <c r="Q65" s="125">
        <v>3</v>
      </c>
      <c r="R65" s="138"/>
      <c r="S65" s="127" t="str">
        <f>IF(OR(T65="Preventivo",T65="Detectivo"),"Probabilidad",IF(T65="Correctivo","Impacto",""))</f>
        <v/>
      </c>
      <c r="T65" s="128"/>
      <c r="U65" s="128"/>
      <c r="V65" s="129" t="str">
        <f t="shared" si="62"/>
        <v/>
      </c>
      <c r="W65" s="128"/>
      <c r="X65" s="128"/>
      <c r="Y65" s="128"/>
      <c r="Z65" s="130" t="str">
        <f>IFERROR(IF(AND(S64="Probabilidad",S65="Probabilidad"),(AB64-(+AB64*V65)),IF(AND(S64="Impacto",S65="Probabilidad"),(AB63-(+AB63*V65)),IF(S65="Impacto",AB64,""))),"")</f>
        <v/>
      </c>
      <c r="AA65" s="131" t="str">
        <f t="shared" si="1"/>
        <v/>
      </c>
      <c r="AB65" s="132" t="str">
        <f t="shared" si="63"/>
        <v/>
      </c>
      <c r="AC65" s="131" t="str">
        <f t="shared" si="3"/>
        <v/>
      </c>
      <c r="AD65" s="140" t="str">
        <f>IFERROR(IF(AND(S64="Impacto",S65="Impacto"),(AD64-(+AD64*V65)),IF(AND(S64="Probabilidad",S65="Impacto"),(AD63-(+AD63*V65)),IF(S65="Probabilidad",AD64,""))),"")</f>
        <v/>
      </c>
      <c r="AE65" s="133" t="str">
        <f t="shared" si="64"/>
        <v/>
      </c>
      <c r="AF65" s="134"/>
      <c r="AG65" s="135"/>
      <c r="AH65" s="136"/>
      <c r="AI65" s="137"/>
      <c r="AJ65" s="137"/>
      <c r="AK65" s="135"/>
      <c r="AL65" s="136"/>
    </row>
    <row r="66" spans="1:38" ht="151.5" customHeight="1" x14ac:dyDescent="0.3">
      <c r="A66" s="266"/>
      <c r="B66" s="225"/>
      <c r="C66" s="225"/>
      <c r="D66" s="142"/>
      <c r="E66" s="225"/>
      <c r="F66" s="269"/>
      <c r="G66" s="269"/>
      <c r="H66" s="225"/>
      <c r="I66" s="228"/>
      <c r="J66" s="231"/>
      <c r="K66" s="234"/>
      <c r="L66" s="237"/>
      <c r="M66" s="234">
        <f ca="1">IF(NOT(ISERROR(MATCH(L66,_xlfn.ANCHORARRAY(E77),0))),K79&amp;"Por favor no seleccionar los criterios de impacto",L66)</f>
        <v>0</v>
      </c>
      <c r="N66" s="231"/>
      <c r="O66" s="234"/>
      <c r="P66" s="222"/>
      <c r="Q66" s="125">
        <v>4</v>
      </c>
      <c r="R66" s="126"/>
      <c r="S66" s="127" t="str">
        <f t="shared" ref="S66:S68" si="65">IF(OR(T66="Preventivo",T66="Detectivo"),"Probabilidad",IF(T66="Correctivo","Impacto",""))</f>
        <v/>
      </c>
      <c r="T66" s="128"/>
      <c r="U66" s="128"/>
      <c r="V66" s="129" t="str">
        <f t="shared" si="62"/>
        <v/>
      </c>
      <c r="W66" s="128"/>
      <c r="X66" s="128"/>
      <c r="Y66" s="128"/>
      <c r="Z66" s="130" t="str">
        <f t="shared" ref="Z66:Z68" si="66">IFERROR(IF(AND(S65="Probabilidad",S66="Probabilidad"),(AB65-(+AB65*V66)),IF(AND(S65="Impacto",S66="Probabilidad"),(AB64-(+AB64*V66)),IF(S66="Impacto",AB65,""))),"")</f>
        <v/>
      </c>
      <c r="AA66" s="131" t="str">
        <f t="shared" si="1"/>
        <v/>
      </c>
      <c r="AB66" s="132" t="str">
        <f t="shared" si="63"/>
        <v/>
      </c>
      <c r="AC66" s="131" t="str">
        <f t="shared" si="3"/>
        <v/>
      </c>
      <c r="AD66" s="140" t="str">
        <f t="shared" ref="AD66:AD68" si="67">IFERROR(IF(AND(S65="Impacto",S66="Impacto"),(AD65-(+AD65*V66)),IF(AND(S65="Probabilidad",S66="Impacto"),(AD64-(+AD64*V66)),IF(S66="Probabilidad",AD65,""))),"")</f>
        <v/>
      </c>
      <c r="AE66" s="133" t="str">
        <f>IFERROR(IF(OR(AND(AA66="Muy Baja",AC66="Leve"),AND(AA66="Muy Baja",AC66="Menor"),AND(AA66="Baja",AC66="Leve")),"Bajo",IF(OR(AND(AA66="Muy baja",AC66="Moderado"),AND(AA66="Baja",AC66="Menor"),AND(AA66="Baja",AC66="Moderado"),AND(AA66="Media",AC66="Leve"),AND(AA66="Media",AC66="Menor"),AND(AA66="Media",AC66="Moderado"),AND(AA66="Alta",AC66="Leve"),AND(AA66="Alta",AC66="Menor")),"Moderado",IF(OR(AND(AA66="Muy Baja",AC66="Mayor"),AND(AA66="Baja",AC66="Mayor"),AND(AA66="Media",AC66="Mayor"),AND(AA66="Alta",AC66="Moderado"),AND(AA66="Alta",AC66="Mayor"),AND(AA66="Muy Alta",AC66="Leve"),AND(AA66="Muy Alta",AC66="Menor"),AND(AA66="Muy Alta",AC66="Moderado"),AND(AA66="Muy Alta",AC66="Mayor")),"Alto",IF(OR(AND(AA66="Muy Baja",AC66="Catastrófico"),AND(AA66="Baja",AC66="Catastrófico"),AND(AA66="Media",AC66="Catastrófico"),AND(AA66="Alta",AC66="Catastrófico"),AND(AA66="Muy Alta",AC66="Catastrófico")),"Extremo","")))),"")</f>
        <v/>
      </c>
      <c r="AF66" s="134"/>
      <c r="AG66" s="135"/>
      <c r="AH66" s="136"/>
      <c r="AI66" s="137"/>
      <c r="AJ66" s="137"/>
      <c r="AK66" s="135"/>
      <c r="AL66" s="136"/>
    </row>
    <row r="67" spans="1:38" ht="151.5" customHeight="1" x14ac:dyDescent="0.3">
      <c r="A67" s="266"/>
      <c r="B67" s="225"/>
      <c r="C67" s="225"/>
      <c r="D67" s="142"/>
      <c r="E67" s="225"/>
      <c r="F67" s="269"/>
      <c r="G67" s="269"/>
      <c r="H67" s="225"/>
      <c r="I67" s="228"/>
      <c r="J67" s="231"/>
      <c r="K67" s="234"/>
      <c r="L67" s="237"/>
      <c r="M67" s="234">
        <f ca="1">IF(NOT(ISERROR(MATCH(L67,_xlfn.ANCHORARRAY(E78),0))),K80&amp;"Por favor no seleccionar los criterios de impacto",L67)</f>
        <v>0</v>
      </c>
      <c r="N67" s="231"/>
      <c r="O67" s="234"/>
      <c r="P67" s="222"/>
      <c r="Q67" s="125">
        <v>5</v>
      </c>
      <c r="R67" s="126"/>
      <c r="S67" s="127" t="str">
        <f t="shared" si="65"/>
        <v/>
      </c>
      <c r="T67" s="128"/>
      <c r="U67" s="128"/>
      <c r="V67" s="129" t="str">
        <f t="shared" si="62"/>
        <v/>
      </c>
      <c r="W67" s="128"/>
      <c r="X67" s="128"/>
      <c r="Y67" s="128"/>
      <c r="Z67" s="130" t="str">
        <f t="shared" si="66"/>
        <v/>
      </c>
      <c r="AA67" s="131" t="str">
        <f t="shared" si="1"/>
        <v/>
      </c>
      <c r="AB67" s="132" t="str">
        <f t="shared" si="63"/>
        <v/>
      </c>
      <c r="AC67" s="131" t="str">
        <f t="shared" si="3"/>
        <v/>
      </c>
      <c r="AD67" s="140" t="str">
        <f t="shared" si="67"/>
        <v/>
      </c>
      <c r="AE67" s="133" t="str">
        <f t="shared" ref="AE67:AE68" si="68">IFERROR(IF(OR(AND(AA67="Muy Baja",AC67="Leve"),AND(AA67="Muy Baja",AC67="Menor"),AND(AA67="Baja",AC67="Leve")),"Bajo",IF(OR(AND(AA67="Muy baja",AC67="Moderado"),AND(AA67="Baja",AC67="Menor"),AND(AA67="Baja",AC67="Moderado"),AND(AA67="Media",AC67="Leve"),AND(AA67="Media",AC67="Menor"),AND(AA67="Media",AC67="Moderado"),AND(AA67="Alta",AC67="Leve"),AND(AA67="Alta",AC67="Menor")),"Moderado",IF(OR(AND(AA67="Muy Baja",AC67="Mayor"),AND(AA67="Baja",AC67="Mayor"),AND(AA67="Media",AC67="Mayor"),AND(AA67="Alta",AC67="Moderado"),AND(AA67="Alta",AC67="Mayor"),AND(AA67="Muy Alta",AC67="Leve"),AND(AA67="Muy Alta",AC67="Menor"),AND(AA67="Muy Alta",AC67="Moderado"),AND(AA67="Muy Alta",AC67="Mayor")),"Alto",IF(OR(AND(AA67="Muy Baja",AC67="Catastrófico"),AND(AA67="Baja",AC67="Catastrófico"),AND(AA67="Media",AC67="Catastrófico"),AND(AA67="Alta",AC67="Catastrófico"),AND(AA67="Muy Alta",AC67="Catastrófico")),"Extremo","")))),"")</f>
        <v/>
      </c>
      <c r="AF67" s="134"/>
      <c r="AG67" s="135"/>
      <c r="AH67" s="136"/>
      <c r="AI67" s="137"/>
      <c r="AJ67" s="137"/>
      <c r="AK67" s="135"/>
      <c r="AL67" s="136"/>
    </row>
    <row r="68" spans="1:38" ht="151.5" customHeight="1" x14ac:dyDescent="0.3">
      <c r="A68" s="267"/>
      <c r="B68" s="226"/>
      <c r="C68" s="226"/>
      <c r="D68" s="143"/>
      <c r="E68" s="226"/>
      <c r="F68" s="270"/>
      <c r="G68" s="270"/>
      <c r="H68" s="226"/>
      <c r="I68" s="229"/>
      <c r="J68" s="232"/>
      <c r="K68" s="235"/>
      <c r="L68" s="238"/>
      <c r="M68" s="235">
        <f ca="1">IF(NOT(ISERROR(MATCH(L68,_xlfn.ANCHORARRAY(E79),0))),K81&amp;"Por favor no seleccionar los criterios de impacto",L68)</f>
        <v>0</v>
      </c>
      <c r="N68" s="232"/>
      <c r="O68" s="235"/>
      <c r="P68" s="223"/>
      <c r="Q68" s="125">
        <v>6</v>
      </c>
      <c r="R68" s="126"/>
      <c r="S68" s="127" t="str">
        <f t="shared" si="65"/>
        <v/>
      </c>
      <c r="T68" s="128"/>
      <c r="U68" s="128"/>
      <c r="V68" s="129" t="str">
        <f t="shared" si="62"/>
        <v/>
      </c>
      <c r="W68" s="128"/>
      <c r="X68" s="128"/>
      <c r="Y68" s="128"/>
      <c r="Z68" s="130" t="str">
        <f t="shared" si="66"/>
        <v/>
      </c>
      <c r="AA68" s="131" t="str">
        <f t="shared" si="1"/>
        <v/>
      </c>
      <c r="AB68" s="132" t="str">
        <f t="shared" si="63"/>
        <v/>
      </c>
      <c r="AC68" s="131" t="str">
        <f t="shared" si="3"/>
        <v/>
      </c>
      <c r="AD68" s="140" t="str">
        <f t="shared" si="67"/>
        <v/>
      </c>
      <c r="AE68" s="133" t="str">
        <f t="shared" si="68"/>
        <v/>
      </c>
      <c r="AF68" s="134"/>
      <c r="AG68" s="135"/>
      <c r="AH68" s="136"/>
      <c r="AI68" s="137"/>
      <c r="AJ68" s="137"/>
      <c r="AK68" s="135"/>
      <c r="AL68" s="136"/>
    </row>
    <row r="69" spans="1:38" ht="49.5" customHeight="1" x14ac:dyDescent="0.3">
      <c r="A69" s="6"/>
      <c r="B69" s="273"/>
      <c r="C69" s="273"/>
      <c r="D69" s="273"/>
      <c r="E69" s="273"/>
      <c r="F69" s="273"/>
      <c r="G69" s="273"/>
      <c r="H69" s="273"/>
      <c r="I69" s="273"/>
      <c r="J69" s="273"/>
      <c r="K69" s="273"/>
      <c r="L69" s="273"/>
      <c r="M69" s="273"/>
      <c r="N69" s="273"/>
      <c r="O69" s="273"/>
      <c r="P69" s="273"/>
      <c r="Q69" s="273"/>
      <c r="R69" s="273"/>
      <c r="S69" s="273"/>
      <c r="T69" s="273"/>
      <c r="U69" s="273"/>
      <c r="V69" s="273"/>
      <c r="W69" s="273"/>
      <c r="X69" s="273"/>
      <c r="Y69" s="273"/>
      <c r="Z69" s="273"/>
      <c r="AA69" s="273"/>
      <c r="AB69" s="273"/>
      <c r="AC69" s="273"/>
      <c r="AD69" s="273"/>
      <c r="AE69" s="273"/>
      <c r="AF69" s="273"/>
      <c r="AG69" s="273"/>
      <c r="AH69" s="273"/>
      <c r="AI69" s="273"/>
      <c r="AJ69" s="273"/>
      <c r="AK69" s="273"/>
      <c r="AL69" s="274"/>
    </row>
    <row r="71" spans="1:38" x14ac:dyDescent="0.3">
      <c r="A71" s="1"/>
      <c r="B71" s="24"/>
      <c r="C71" s="1"/>
      <c r="D71" s="1"/>
      <c r="F71" s="1"/>
      <c r="G71" s="1"/>
      <c r="H71" s="1"/>
    </row>
  </sheetData>
  <dataConsolidate/>
  <mergeCells count="189">
    <mergeCell ref="C4:P4"/>
    <mergeCell ref="P11:P14"/>
    <mergeCell ref="M11:M14"/>
    <mergeCell ref="N11:N14"/>
    <mergeCell ref="O11:O14"/>
    <mergeCell ref="A4:B4"/>
    <mergeCell ref="A5:B5"/>
    <mergeCell ref="C5:P5"/>
    <mergeCell ref="AD9:AD10"/>
    <mergeCell ref="Z9:Z10"/>
    <mergeCell ref="R9:R10"/>
    <mergeCell ref="AC9:AC10"/>
    <mergeCell ref="AA9:AA10"/>
    <mergeCell ref="AB9:AB10"/>
    <mergeCell ref="I9:I10"/>
    <mergeCell ref="J9:J10"/>
    <mergeCell ref="K9:K10"/>
    <mergeCell ref="N9:N10"/>
    <mergeCell ref="O9:O10"/>
    <mergeCell ref="P9:P10"/>
    <mergeCell ref="L9:L10"/>
    <mergeCell ref="M9:M10"/>
    <mergeCell ref="S9:S10"/>
    <mergeCell ref="T9:Y9"/>
    <mergeCell ref="M15:M20"/>
    <mergeCell ref="N15:N20"/>
    <mergeCell ref="O15:O20"/>
    <mergeCell ref="P15:P20"/>
    <mergeCell ref="A21:A26"/>
    <mergeCell ref="B21:B26"/>
    <mergeCell ref="E21:E26"/>
    <mergeCell ref="G21:G26"/>
    <mergeCell ref="H21:H26"/>
    <mergeCell ref="I21:I26"/>
    <mergeCell ref="J21:J26"/>
    <mergeCell ref="K21:K26"/>
    <mergeCell ref="L21:L26"/>
    <mergeCell ref="M21:M26"/>
    <mergeCell ref="N21:N26"/>
    <mergeCell ref="H15:H20"/>
    <mergeCell ref="I15:I20"/>
    <mergeCell ref="J15:J20"/>
    <mergeCell ref="K15:K20"/>
    <mergeCell ref="L15:L20"/>
    <mergeCell ref="A15:A20"/>
    <mergeCell ref="B15:B20"/>
    <mergeCell ref="E15:E20"/>
    <mergeCell ref="G15:G20"/>
    <mergeCell ref="H33:H38"/>
    <mergeCell ref="I33:I38"/>
    <mergeCell ref="J33:J38"/>
    <mergeCell ref="O21:O26"/>
    <mergeCell ref="P21:P26"/>
    <mergeCell ref="A27:A32"/>
    <mergeCell ref="B27:B32"/>
    <mergeCell ref="E27:E32"/>
    <mergeCell ref="G27:G32"/>
    <mergeCell ref="H27:H32"/>
    <mergeCell ref="I27:I32"/>
    <mergeCell ref="J27:J32"/>
    <mergeCell ref="K27:K32"/>
    <mergeCell ref="L27:L32"/>
    <mergeCell ref="M27:M32"/>
    <mergeCell ref="N27:N32"/>
    <mergeCell ref="O27:O32"/>
    <mergeCell ref="P27:P32"/>
    <mergeCell ref="K33:K38"/>
    <mergeCell ref="L33:L38"/>
    <mergeCell ref="A51:A56"/>
    <mergeCell ref="B51:B56"/>
    <mergeCell ref="E51:E56"/>
    <mergeCell ref="G51:G56"/>
    <mergeCell ref="A45:A50"/>
    <mergeCell ref="B45:B50"/>
    <mergeCell ref="E45:E50"/>
    <mergeCell ref="G45:G50"/>
    <mergeCell ref="O33:O38"/>
    <mergeCell ref="O39:O44"/>
    <mergeCell ref="L45:L50"/>
    <mergeCell ref="M45:M50"/>
    <mergeCell ref="N45:N50"/>
    <mergeCell ref="A33:A38"/>
    <mergeCell ref="B33:B38"/>
    <mergeCell ref="A39:A44"/>
    <mergeCell ref="B39:B44"/>
    <mergeCell ref="E39:E44"/>
    <mergeCell ref="G39:G44"/>
    <mergeCell ref="H39:H44"/>
    <mergeCell ref="E33:E38"/>
    <mergeCell ref="G33:G38"/>
    <mergeCell ref="L39:L44"/>
    <mergeCell ref="M39:M44"/>
    <mergeCell ref="I39:I44"/>
    <mergeCell ref="J39:J44"/>
    <mergeCell ref="K39:K44"/>
    <mergeCell ref="M33:M38"/>
    <mergeCell ref="N33:N38"/>
    <mergeCell ref="P33:P38"/>
    <mergeCell ref="P39:P44"/>
    <mergeCell ref="N39:N44"/>
    <mergeCell ref="B69:AL69"/>
    <mergeCell ref="O57:O62"/>
    <mergeCell ref="P57:P62"/>
    <mergeCell ref="M63:M68"/>
    <mergeCell ref="N63:N68"/>
    <mergeCell ref="O63:O68"/>
    <mergeCell ref="P63:P68"/>
    <mergeCell ref="L57:L62"/>
    <mergeCell ref="M57:M62"/>
    <mergeCell ref="N57:N62"/>
    <mergeCell ref="C51:C56"/>
    <mergeCell ref="C57:C62"/>
    <mergeCell ref="I57:I62"/>
    <mergeCell ref="J57:J62"/>
    <mergeCell ref="K57:K62"/>
    <mergeCell ref="O45:O50"/>
    <mergeCell ref="A63:A68"/>
    <mergeCell ref="B63:B68"/>
    <mergeCell ref="E63:E68"/>
    <mergeCell ref="G63:G68"/>
    <mergeCell ref="H63:H68"/>
    <mergeCell ref="I63:I68"/>
    <mergeCell ref="J63:J68"/>
    <mergeCell ref="K63:K68"/>
    <mergeCell ref="L63:L68"/>
    <mergeCell ref="C63:C68"/>
    <mergeCell ref="F63:F68"/>
    <mergeCell ref="A57:A62"/>
    <mergeCell ref="B57:B62"/>
    <mergeCell ref="E57:E62"/>
    <mergeCell ref="G57:G62"/>
    <mergeCell ref="H57:H62"/>
    <mergeCell ref="Q5:S5"/>
    <mergeCell ref="B9:B10"/>
    <mergeCell ref="D9:D10"/>
    <mergeCell ref="F9:F10"/>
    <mergeCell ref="C9:C10"/>
    <mergeCell ref="F15:F20"/>
    <mergeCell ref="F21:F26"/>
    <mergeCell ref="F27:F32"/>
    <mergeCell ref="F33:F38"/>
    <mergeCell ref="F39:F44"/>
    <mergeCell ref="F45:F50"/>
    <mergeCell ref="F51:F56"/>
    <mergeCell ref="F57:F62"/>
    <mergeCell ref="C15:C20"/>
    <mergeCell ref="C21:C26"/>
    <mergeCell ref="C27:C32"/>
    <mergeCell ref="C33:C38"/>
    <mergeCell ref="C39:C44"/>
    <mergeCell ref="C45:C50"/>
    <mergeCell ref="Q4:S4"/>
    <mergeCell ref="A1:AL2"/>
    <mergeCell ref="A8:I8"/>
    <mergeCell ref="J8:P8"/>
    <mergeCell ref="Q8:Y8"/>
    <mergeCell ref="Z8:AF8"/>
    <mergeCell ref="AG8:AL8"/>
    <mergeCell ref="AG9:AG10"/>
    <mergeCell ref="AL9:AL10"/>
    <mergeCell ref="AK9:AK10"/>
    <mergeCell ref="AJ9:AJ10"/>
    <mergeCell ref="AI9:AI10"/>
    <mergeCell ref="AH9:AH10"/>
    <mergeCell ref="A6:B6"/>
    <mergeCell ref="A7:B7"/>
    <mergeCell ref="A9:A10"/>
    <mergeCell ref="H9:H10"/>
    <mergeCell ref="G9:G10"/>
    <mergeCell ref="E9:E10"/>
    <mergeCell ref="AF9:AF10"/>
    <mergeCell ref="C6:P6"/>
    <mergeCell ref="C7:P7"/>
    <mergeCell ref="Q9:Q10"/>
    <mergeCell ref="AE9:AE10"/>
    <mergeCell ref="P45:P50"/>
    <mergeCell ref="H51:H56"/>
    <mergeCell ref="I51:I56"/>
    <mergeCell ref="J51:J56"/>
    <mergeCell ref="K51:K56"/>
    <mergeCell ref="L51:L56"/>
    <mergeCell ref="H45:H50"/>
    <mergeCell ref="I45:I50"/>
    <mergeCell ref="J45:J50"/>
    <mergeCell ref="K45:K50"/>
    <mergeCell ref="M51:M56"/>
    <mergeCell ref="N51:N56"/>
    <mergeCell ref="O51:O56"/>
    <mergeCell ref="P51:P56"/>
  </mergeCells>
  <conditionalFormatting sqref="J15 J11:J12 AA11:AA14">
    <cfRule type="cellIs" dxfId="217" priority="319" operator="equal">
      <formula>"Muy Alta"</formula>
    </cfRule>
    <cfRule type="cellIs" dxfId="216" priority="320" operator="equal">
      <formula>"Alta"</formula>
    </cfRule>
    <cfRule type="cellIs" dxfId="215" priority="321" operator="equal">
      <formula>"Media"</formula>
    </cfRule>
    <cfRule type="cellIs" dxfId="214" priority="322" operator="equal">
      <formula>"Baja"</formula>
    </cfRule>
    <cfRule type="cellIs" dxfId="213" priority="323" operator="equal">
      <formula>"Muy Baja"</formula>
    </cfRule>
  </conditionalFormatting>
  <conditionalFormatting sqref="N11 N15 N21 N27 N33 N39 N45 N51 N57 N63 AC11:AC14">
    <cfRule type="cellIs" dxfId="212" priority="314" operator="equal">
      <formula>"Catastrófico"</formula>
    </cfRule>
    <cfRule type="cellIs" dxfId="211" priority="315" operator="equal">
      <formula>"Mayor"</formula>
    </cfRule>
    <cfRule type="cellIs" dxfId="210" priority="316" operator="equal">
      <formula>"Moderado"</formula>
    </cfRule>
    <cfRule type="cellIs" dxfId="209" priority="317" operator="equal">
      <formula>"Menor"</formula>
    </cfRule>
    <cfRule type="cellIs" dxfId="208" priority="318" operator="equal">
      <formula>"Leve"</formula>
    </cfRule>
  </conditionalFormatting>
  <conditionalFormatting sqref="P11 AE11:AE14">
    <cfRule type="cellIs" dxfId="207" priority="310" operator="equal">
      <formula>"Extremo"</formula>
    </cfRule>
    <cfRule type="cellIs" dxfId="206" priority="311" operator="equal">
      <formula>"Alto"</formula>
    </cfRule>
    <cfRule type="cellIs" dxfId="205" priority="312" operator="equal">
      <formula>"Moderado"</formula>
    </cfRule>
    <cfRule type="cellIs" dxfId="204" priority="313" operator="equal">
      <formula>"Bajo"</formula>
    </cfRule>
  </conditionalFormatting>
  <conditionalFormatting sqref="J57">
    <cfRule type="cellIs" dxfId="203" priority="53" operator="equal">
      <formula>"Muy Alta"</formula>
    </cfRule>
    <cfRule type="cellIs" dxfId="202" priority="54" operator="equal">
      <formula>"Alta"</formula>
    </cfRule>
    <cfRule type="cellIs" dxfId="201" priority="55" operator="equal">
      <formula>"Media"</formula>
    </cfRule>
    <cfRule type="cellIs" dxfId="200" priority="56" operator="equal">
      <formula>"Baja"</formula>
    </cfRule>
    <cfRule type="cellIs" dxfId="199" priority="57" operator="equal">
      <formula>"Muy Baja"</formula>
    </cfRule>
  </conditionalFormatting>
  <conditionalFormatting sqref="P15">
    <cfRule type="cellIs" dxfId="198" priority="240" operator="equal">
      <formula>"Extremo"</formula>
    </cfRule>
    <cfRule type="cellIs" dxfId="197" priority="241" operator="equal">
      <formula>"Alto"</formula>
    </cfRule>
    <cfRule type="cellIs" dxfId="196" priority="242" operator="equal">
      <formula>"Moderado"</formula>
    </cfRule>
    <cfRule type="cellIs" dxfId="195" priority="243" operator="equal">
      <formula>"Bajo"</formula>
    </cfRule>
  </conditionalFormatting>
  <conditionalFormatting sqref="AA15:AA20">
    <cfRule type="cellIs" dxfId="194" priority="235" operator="equal">
      <formula>"Muy Alta"</formula>
    </cfRule>
    <cfRule type="cellIs" dxfId="193" priority="236" operator="equal">
      <formula>"Alta"</formula>
    </cfRule>
    <cfRule type="cellIs" dxfId="192" priority="237" operator="equal">
      <formula>"Media"</formula>
    </cfRule>
    <cfRule type="cellIs" dxfId="191" priority="238" operator="equal">
      <formula>"Baja"</formula>
    </cfRule>
    <cfRule type="cellIs" dxfId="190" priority="239" operator="equal">
      <formula>"Muy Baja"</formula>
    </cfRule>
  </conditionalFormatting>
  <conditionalFormatting sqref="AC15:AC20">
    <cfRule type="cellIs" dxfId="189" priority="230" operator="equal">
      <formula>"Catastrófico"</formula>
    </cfRule>
    <cfRule type="cellIs" dxfId="188" priority="231" operator="equal">
      <formula>"Mayor"</formula>
    </cfRule>
    <cfRule type="cellIs" dxfId="187" priority="232" operator="equal">
      <formula>"Moderado"</formula>
    </cfRule>
    <cfRule type="cellIs" dxfId="186" priority="233" operator="equal">
      <formula>"Menor"</formula>
    </cfRule>
    <cfRule type="cellIs" dxfId="185" priority="234" operator="equal">
      <formula>"Leve"</formula>
    </cfRule>
  </conditionalFormatting>
  <conditionalFormatting sqref="AE15:AE20">
    <cfRule type="cellIs" dxfId="184" priority="226" operator="equal">
      <formula>"Extremo"</formula>
    </cfRule>
    <cfRule type="cellIs" dxfId="183" priority="227" operator="equal">
      <formula>"Alto"</formula>
    </cfRule>
    <cfRule type="cellIs" dxfId="182" priority="228" operator="equal">
      <formula>"Moderado"</formula>
    </cfRule>
    <cfRule type="cellIs" dxfId="181" priority="229" operator="equal">
      <formula>"Bajo"</formula>
    </cfRule>
  </conditionalFormatting>
  <conditionalFormatting sqref="J21">
    <cfRule type="cellIs" dxfId="180" priority="221" operator="equal">
      <formula>"Muy Alta"</formula>
    </cfRule>
    <cfRule type="cellIs" dxfId="179" priority="222" operator="equal">
      <formula>"Alta"</formula>
    </cfRule>
    <cfRule type="cellIs" dxfId="178" priority="223" operator="equal">
      <formula>"Media"</formula>
    </cfRule>
    <cfRule type="cellIs" dxfId="177" priority="224" operator="equal">
      <formula>"Baja"</formula>
    </cfRule>
    <cfRule type="cellIs" dxfId="176" priority="225" operator="equal">
      <formula>"Muy Baja"</formula>
    </cfRule>
  </conditionalFormatting>
  <conditionalFormatting sqref="P21">
    <cfRule type="cellIs" dxfId="175" priority="212" operator="equal">
      <formula>"Extremo"</formula>
    </cfRule>
    <cfRule type="cellIs" dxfId="174" priority="213" operator="equal">
      <formula>"Alto"</formula>
    </cfRule>
    <cfRule type="cellIs" dxfId="173" priority="214" operator="equal">
      <formula>"Moderado"</formula>
    </cfRule>
    <cfRule type="cellIs" dxfId="172" priority="215" operator="equal">
      <formula>"Bajo"</formula>
    </cfRule>
  </conditionalFormatting>
  <conditionalFormatting sqref="AA21:AA26">
    <cfRule type="cellIs" dxfId="171" priority="207" operator="equal">
      <formula>"Muy Alta"</formula>
    </cfRule>
    <cfRule type="cellIs" dxfId="170" priority="208" operator="equal">
      <formula>"Alta"</formula>
    </cfRule>
    <cfRule type="cellIs" dxfId="169" priority="209" operator="equal">
      <formula>"Media"</formula>
    </cfRule>
    <cfRule type="cellIs" dxfId="168" priority="210" operator="equal">
      <formula>"Baja"</formula>
    </cfRule>
    <cfRule type="cellIs" dxfId="167" priority="211" operator="equal">
      <formula>"Muy Baja"</formula>
    </cfRule>
  </conditionalFormatting>
  <conditionalFormatting sqref="AC21:AC26">
    <cfRule type="cellIs" dxfId="166" priority="202" operator="equal">
      <formula>"Catastrófico"</formula>
    </cfRule>
    <cfRule type="cellIs" dxfId="165" priority="203" operator="equal">
      <formula>"Mayor"</formula>
    </cfRule>
    <cfRule type="cellIs" dxfId="164" priority="204" operator="equal">
      <formula>"Moderado"</formula>
    </cfRule>
    <cfRule type="cellIs" dxfId="163" priority="205" operator="equal">
      <formula>"Menor"</formula>
    </cfRule>
    <cfRule type="cellIs" dxfId="162" priority="206" operator="equal">
      <formula>"Leve"</formula>
    </cfRule>
  </conditionalFormatting>
  <conditionalFormatting sqref="AE21:AE26">
    <cfRule type="cellIs" dxfId="161" priority="198" operator="equal">
      <formula>"Extremo"</formula>
    </cfRule>
    <cfRule type="cellIs" dxfId="160" priority="199" operator="equal">
      <formula>"Alto"</formula>
    </cfRule>
    <cfRule type="cellIs" dxfId="159" priority="200" operator="equal">
      <formula>"Moderado"</formula>
    </cfRule>
    <cfRule type="cellIs" dxfId="158" priority="201" operator="equal">
      <formula>"Bajo"</formula>
    </cfRule>
  </conditionalFormatting>
  <conditionalFormatting sqref="J27">
    <cfRule type="cellIs" dxfId="157" priority="193" operator="equal">
      <formula>"Muy Alta"</formula>
    </cfRule>
    <cfRule type="cellIs" dxfId="156" priority="194" operator="equal">
      <formula>"Alta"</formula>
    </cfRule>
    <cfRule type="cellIs" dxfId="155" priority="195" operator="equal">
      <formula>"Media"</formula>
    </cfRule>
    <cfRule type="cellIs" dxfId="154" priority="196" operator="equal">
      <formula>"Baja"</formula>
    </cfRule>
    <cfRule type="cellIs" dxfId="153" priority="197" operator="equal">
      <formula>"Muy Baja"</formula>
    </cfRule>
  </conditionalFormatting>
  <conditionalFormatting sqref="P27">
    <cfRule type="cellIs" dxfId="152" priority="184" operator="equal">
      <formula>"Extremo"</formula>
    </cfRule>
    <cfRule type="cellIs" dxfId="151" priority="185" operator="equal">
      <formula>"Alto"</formula>
    </cfRule>
    <cfRule type="cellIs" dxfId="150" priority="186" operator="equal">
      <formula>"Moderado"</formula>
    </cfRule>
    <cfRule type="cellIs" dxfId="149" priority="187" operator="equal">
      <formula>"Bajo"</formula>
    </cfRule>
  </conditionalFormatting>
  <conditionalFormatting sqref="AA27:AA32">
    <cfRule type="cellIs" dxfId="148" priority="179" operator="equal">
      <formula>"Muy Alta"</formula>
    </cfRule>
    <cfRule type="cellIs" dxfId="147" priority="180" operator="equal">
      <formula>"Alta"</formula>
    </cfRule>
    <cfRule type="cellIs" dxfId="146" priority="181" operator="equal">
      <formula>"Media"</formula>
    </cfRule>
    <cfRule type="cellIs" dxfId="145" priority="182" operator="equal">
      <formula>"Baja"</formula>
    </cfRule>
    <cfRule type="cellIs" dxfId="144" priority="183" operator="equal">
      <formula>"Muy Baja"</formula>
    </cfRule>
  </conditionalFormatting>
  <conditionalFormatting sqref="AC27:AC32">
    <cfRule type="cellIs" dxfId="143" priority="174" operator="equal">
      <formula>"Catastrófico"</formula>
    </cfRule>
    <cfRule type="cellIs" dxfId="142" priority="175" operator="equal">
      <formula>"Mayor"</formula>
    </cfRule>
    <cfRule type="cellIs" dxfId="141" priority="176" operator="equal">
      <formula>"Moderado"</formula>
    </cfRule>
    <cfRule type="cellIs" dxfId="140" priority="177" operator="equal">
      <formula>"Menor"</formula>
    </cfRule>
    <cfRule type="cellIs" dxfId="139" priority="178" operator="equal">
      <formula>"Leve"</formula>
    </cfRule>
  </conditionalFormatting>
  <conditionalFormatting sqref="AE27:AE32">
    <cfRule type="cellIs" dxfId="138" priority="170" operator="equal">
      <formula>"Extremo"</formula>
    </cfRule>
    <cfRule type="cellIs" dxfId="137" priority="171" operator="equal">
      <formula>"Alto"</formula>
    </cfRule>
    <cfRule type="cellIs" dxfId="136" priority="172" operator="equal">
      <formula>"Moderado"</formula>
    </cfRule>
    <cfRule type="cellIs" dxfId="135" priority="173" operator="equal">
      <formula>"Bajo"</formula>
    </cfRule>
  </conditionalFormatting>
  <conditionalFormatting sqref="J33">
    <cfRule type="cellIs" dxfId="134" priority="165" operator="equal">
      <formula>"Muy Alta"</formula>
    </cfRule>
    <cfRule type="cellIs" dxfId="133" priority="166" operator="equal">
      <formula>"Alta"</formula>
    </cfRule>
    <cfRule type="cellIs" dxfId="132" priority="167" operator="equal">
      <formula>"Media"</formula>
    </cfRule>
    <cfRule type="cellIs" dxfId="131" priority="168" operator="equal">
      <formula>"Baja"</formula>
    </cfRule>
    <cfRule type="cellIs" dxfId="130" priority="169" operator="equal">
      <formula>"Muy Baja"</formula>
    </cfRule>
  </conditionalFormatting>
  <conditionalFormatting sqref="P33">
    <cfRule type="cellIs" dxfId="129" priority="156" operator="equal">
      <formula>"Extremo"</formula>
    </cfRule>
    <cfRule type="cellIs" dxfId="128" priority="157" operator="equal">
      <formula>"Alto"</formula>
    </cfRule>
    <cfRule type="cellIs" dxfId="127" priority="158" operator="equal">
      <formula>"Moderado"</formula>
    </cfRule>
    <cfRule type="cellIs" dxfId="126" priority="159" operator="equal">
      <formula>"Bajo"</formula>
    </cfRule>
  </conditionalFormatting>
  <conditionalFormatting sqref="AA33:AA38">
    <cfRule type="cellIs" dxfId="125" priority="151" operator="equal">
      <formula>"Muy Alta"</formula>
    </cfRule>
    <cfRule type="cellIs" dxfId="124" priority="152" operator="equal">
      <formula>"Alta"</formula>
    </cfRule>
    <cfRule type="cellIs" dxfId="123" priority="153" operator="equal">
      <formula>"Media"</formula>
    </cfRule>
    <cfRule type="cellIs" dxfId="122" priority="154" operator="equal">
      <formula>"Baja"</formula>
    </cfRule>
    <cfRule type="cellIs" dxfId="121" priority="155" operator="equal">
      <formula>"Muy Baja"</formula>
    </cfRule>
  </conditionalFormatting>
  <conditionalFormatting sqref="AC33:AC38">
    <cfRule type="cellIs" dxfId="120" priority="146" operator="equal">
      <formula>"Catastrófico"</formula>
    </cfRule>
    <cfRule type="cellIs" dxfId="119" priority="147" operator="equal">
      <formula>"Mayor"</formula>
    </cfRule>
    <cfRule type="cellIs" dxfId="118" priority="148" operator="equal">
      <formula>"Moderado"</formula>
    </cfRule>
    <cfRule type="cellIs" dxfId="117" priority="149" operator="equal">
      <formula>"Menor"</formula>
    </cfRule>
    <cfRule type="cellIs" dxfId="116" priority="150" operator="equal">
      <formula>"Leve"</formula>
    </cfRule>
  </conditionalFormatting>
  <conditionalFormatting sqref="AE33:AE38">
    <cfRule type="cellIs" dxfId="115" priority="142" operator="equal">
      <formula>"Extremo"</formula>
    </cfRule>
    <cfRule type="cellIs" dxfId="114" priority="143" operator="equal">
      <formula>"Alto"</formula>
    </cfRule>
    <cfRule type="cellIs" dxfId="113" priority="144" operator="equal">
      <formula>"Moderado"</formula>
    </cfRule>
    <cfRule type="cellIs" dxfId="112" priority="145" operator="equal">
      <formula>"Bajo"</formula>
    </cfRule>
  </conditionalFormatting>
  <conditionalFormatting sqref="J39">
    <cfRule type="cellIs" dxfId="111" priority="137" operator="equal">
      <formula>"Muy Alta"</formula>
    </cfRule>
    <cfRule type="cellIs" dxfId="110" priority="138" operator="equal">
      <formula>"Alta"</formula>
    </cfRule>
    <cfRule type="cellIs" dxfId="109" priority="139" operator="equal">
      <formula>"Media"</formula>
    </cfRule>
    <cfRule type="cellIs" dxfId="108" priority="140" operator="equal">
      <formula>"Baja"</formula>
    </cfRule>
    <cfRule type="cellIs" dxfId="107" priority="141" operator="equal">
      <formula>"Muy Baja"</formula>
    </cfRule>
  </conditionalFormatting>
  <conditionalFormatting sqref="P39">
    <cfRule type="cellIs" dxfId="106" priority="128" operator="equal">
      <formula>"Extremo"</formula>
    </cfRule>
    <cfRule type="cellIs" dxfId="105" priority="129" operator="equal">
      <formula>"Alto"</formula>
    </cfRule>
    <cfRule type="cellIs" dxfId="104" priority="130" operator="equal">
      <formula>"Moderado"</formula>
    </cfRule>
    <cfRule type="cellIs" dxfId="103" priority="131" operator="equal">
      <formula>"Bajo"</formula>
    </cfRule>
  </conditionalFormatting>
  <conditionalFormatting sqref="AA39:AA44">
    <cfRule type="cellIs" dxfId="102" priority="123" operator="equal">
      <formula>"Muy Alta"</formula>
    </cfRule>
    <cfRule type="cellIs" dxfId="101" priority="124" operator="equal">
      <formula>"Alta"</formula>
    </cfRule>
    <cfRule type="cellIs" dxfId="100" priority="125" operator="equal">
      <formula>"Media"</formula>
    </cfRule>
    <cfRule type="cellIs" dxfId="99" priority="126" operator="equal">
      <formula>"Baja"</formula>
    </cfRule>
    <cfRule type="cellIs" dxfId="98" priority="127" operator="equal">
      <formula>"Muy Baja"</formula>
    </cfRule>
  </conditionalFormatting>
  <conditionalFormatting sqref="AC39:AC44">
    <cfRule type="cellIs" dxfId="97" priority="118" operator="equal">
      <formula>"Catastrófico"</formula>
    </cfRule>
    <cfRule type="cellIs" dxfId="96" priority="119" operator="equal">
      <formula>"Mayor"</formula>
    </cfRule>
    <cfRule type="cellIs" dxfId="95" priority="120" operator="equal">
      <formula>"Moderado"</formula>
    </cfRule>
    <cfRule type="cellIs" dxfId="94" priority="121" operator="equal">
      <formula>"Menor"</formula>
    </cfRule>
    <cfRule type="cellIs" dxfId="93" priority="122" operator="equal">
      <formula>"Leve"</formula>
    </cfRule>
  </conditionalFormatting>
  <conditionalFormatting sqref="AE39:AE44">
    <cfRule type="cellIs" dxfId="92" priority="114" operator="equal">
      <formula>"Extremo"</formula>
    </cfRule>
    <cfRule type="cellIs" dxfId="91" priority="115" operator="equal">
      <formula>"Alto"</formula>
    </cfRule>
    <cfRule type="cellIs" dxfId="90" priority="116" operator="equal">
      <formula>"Moderado"</formula>
    </cfRule>
    <cfRule type="cellIs" dxfId="89" priority="117" operator="equal">
      <formula>"Bajo"</formula>
    </cfRule>
  </conditionalFormatting>
  <conditionalFormatting sqref="J45">
    <cfRule type="cellIs" dxfId="88" priority="109" operator="equal">
      <formula>"Muy Alta"</formula>
    </cfRule>
    <cfRule type="cellIs" dxfId="87" priority="110" operator="equal">
      <formula>"Alta"</formula>
    </cfRule>
    <cfRule type="cellIs" dxfId="86" priority="111" operator="equal">
      <formula>"Media"</formula>
    </cfRule>
    <cfRule type="cellIs" dxfId="85" priority="112" operator="equal">
      <formula>"Baja"</formula>
    </cfRule>
    <cfRule type="cellIs" dxfId="84" priority="113" operator="equal">
      <formula>"Muy Baja"</formula>
    </cfRule>
  </conditionalFormatting>
  <conditionalFormatting sqref="P45">
    <cfRule type="cellIs" dxfId="83" priority="100" operator="equal">
      <formula>"Extremo"</formula>
    </cfRule>
    <cfRule type="cellIs" dxfId="82" priority="101" operator="equal">
      <formula>"Alto"</formula>
    </cfRule>
    <cfRule type="cellIs" dxfId="81" priority="102" operator="equal">
      <formula>"Moderado"</formula>
    </cfRule>
    <cfRule type="cellIs" dxfId="80" priority="103" operator="equal">
      <formula>"Bajo"</formula>
    </cfRule>
  </conditionalFormatting>
  <conditionalFormatting sqref="AA45:AA50">
    <cfRule type="cellIs" dxfId="79" priority="95" operator="equal">
      <formula>"Muy Alta"</formula>
    </cfRule>
    <cfRule type="cellIs" dxfId="78" priority="96" operator="equal">
      <formula>"Alta"</formula>
    </cfRule>
    <cfRule type="cellIs" dxfId="77" priority="97" operator="equal">
      <formula>"Media"</formula>
    </cfRule>
    <cfRule type="cellIs" dxfId="76" priority="98" operator="equal">
      <formula>"Baja"</formula>
    </cfRule>
    <cfRule type="cellIs" dxfId="75" priority="99" operator="equal">
      <formula>"Muy Baja"</formula>
    </cfRule>
  </conditionalFormatting>
  <conditionalFormatting sqref="AC45:AC50">
    <cfRule type="cellIs" dxfId="74" priority="90" operator="equal">
      <formula>"Catastrófico"</formula>
    </cfRule>
    <cfRule type="cellIs" dxfId="73" priority="91" operator="equal">
      <formula>"Mayor"</formula>
    </cfRule>
    <cfRule type="cellIs" dxfId="72" priority="92" operator="equal">
      <formula>"Moderado"</formula>
    </cfRule>
    <cfRule type="cellIs" dxfId="71" priority="93" operator="equal">
      <formula>"Menor"</formula>
    </cfRule>
    <cfRule type="cellIs" dxfId="70" priority="94" operator="equal">
      <formula>"Leve"</formula>
    </cfRule>
  </conditionalFormatting>
  <conditionalFormatting sqref="AE45:AE50">
    <cfRule type="cellIs" dxfId="69" priority="86" operator="equal">
      <formula>"Extremo"</formula>
    </cfRule>
    <cfRule type="cellIs" dxfId="68" priority="87" operator="equal">
      <formula>"Alto"</formula>
    </cfRule>
    <cfRule type="cellIs" dxfId="67" priority="88" operator="equal">
      <formula>"Moderado"</formula>
    </cfRule>
    <cfRule type="cellIs" dxfId="66" priority="89" operator="equal">
      <formula>"Bajo"</formula>
    </cfRule>
  </conditionalFormatting>
  <conditionalFormatting sqref="J51">
    <cfRule type="cellIs" dxfId="65" priority="81" operator="equal">
      <formula>"Muy Alta"</formula>
    </cfRule>
    <cfRule type="cellIs" dxfId="64" priority="82" operator="equal">
      <formula>"Alta"</formula>
    </cfRule>
    <cfRule type="cellIs" dxfId="63" priority="83" operator="equal">
      <formula>"Media"</formula>
    </cfRule>
    <cfRule type="cellIs" dxfId="62" priority="84" operator="equal">
      <formula>"Baja"</formula>
    </cfRule>
    <cfRule type="cellIs" dxfId="61" priority="85" operator="equal">
      <formula>"Muy Baja"</formula>
    </cfRule>
  </conditionalFormatting>
  <conditionalFormatting sqref="P51">
    <cfRule type="cellIs" dxfId="60" priority="72" operator="equal">
      <formula>"Extremo"</formula>
    </cfRule>
    <cfRule type="cellIs" dxfId="59" priority="73" operator="equal">
      <formula>"Alto"</formula>
    </cfRule>
    <cfRule type="cellIs" dxfId="58" priority="74" operator="equal">
      <formula>"Moderado"</formula>
    </cfRule>
    <cfRule type="cellIs" dxfId="57" priority="75" operator="equal">
      <formula>"Bajo"</formula>
    </cfRule>
  </conditionalFormatting>
  <conditionalFormatting sqref="AA51:AA56">
    <cfRule type="cellIs" dxfId="56" priority="67" operator="equal">
      <formula>"Muy Alta"</formula>
    </cfRule>
    <cfRule type="cellIs" dxfId="55" priority="68" operator="equal">
      <formula>"Alta"</formula>
    </cfRule>
    <cfRule type="cellIs" dxfId="54" priority="69" operator="equal">
      <formula>"Media"</formula>
    </cfRule>
    <cfRule type="cellIs" dxfId="53" priority="70" operator="equal">
      <formula>"Baja"</formula>
    </cfRule>
    <cfRule type="cellIs" dxfId="52" priority="71" operator="equal">
      <formula>"Muy Baja"</formula>
    </cfRule>
  </conditionalFormatting>
  <conditionalFormatting sqref="AC51:AC56">
    <cfRule type="cellIs" dxfId="51" priority="62" operator="equal">
      <formula>"Catastrófico"</formula>
    </cfRule>
    <cfRule type="cellIs" dxfId="50" priority="63" operator="equal">
      <formula>"Mayor"</formula>
    </cfRule>
    <cfRule type="cellIs" dxfId="49" priority="64" operator="equal">
      <formula>"Moderado"</formula>
    </cfRule>
    <cfRule type="cellIs" dxfId="48" priority="65" operator="equal">
      <formula>"Menor"</formula>
    </cfRule>
    <cfRule type="cellIs" dxfId="47" priority="66" operator="equal">
      <formula>"Leve"</formula>
    </cfRule>
  </conditionalFormatting>
  <conditionalFormatting sqref="AE51:AE56">
    <cfRule type="cellIs" dxfId="46" priority="58" operator="equal">
      <formula>"Extremo"</formula>
    </cfRule>
    <cfRule type="cellIs" dxfId="45" priority="59" operator="equal">
      <formula>"Alto"</formula>
    </cfRule>
    <cfRule type="cellIs" dxfId="44" priority="60" operator="equal">
      <formula>"Moderado"</formula>
    </cfRule>
    <cfRule type="cellIs" dxfId="43" priority="61" operator="equal">
      <formula>"Bajo"</formula>
    </cfRule>
  </conditionalFormatting>
  <conditionalFormatting sqref="P57">
    <cfRule type="cellIs" dxfId="42" priority="44" operator="equal">
      <formula>"Extremo"</formula>
    </cfRule>
    <cfRule type="cellIs" dxfId="41" priority="45" operator="equal">
      <formula>"Alto"</formula>
    </cfRule>
    <cfRule type="cellIs" dxfId="40" priority="46" operator="equal">
      <formula>"Moderado"</formula>
    </cfRule>
    <cfRule type="cellIs" dxfId="39" priority="47" operator="equal">
      <formula>"Bajo"</formula>
    </cfRule>
  </conditionalFormatting>
  <conditionalFormatting sqref="AA57:AA62">
    <cfRule type="cellIs" dxfId="38" priority="39" operator="equal">
      <formula>"Muy Alta"</formula>
    </cfRule>
    <cfRule type="cellIs" dxfId="37" priority="40" operator="equal">
      <formula>"Alta"</formula>
    </cfRule>
    <cfRule type="cellIs" dxfId="36" priority="41" operator="equal">
      <formula>"Media"</formula>
    </cfRule>
    <cfRule type="cellIs" dxfId="35" priority="42" operator="equal">
      <formula>"Baja"</formula>
    </cfRule>
    <cfRule type="cellIs" dxfId="34" priority="43" operator="equal">
      <formula>"Muy Baja"</formula>
    </cfRule>
  </conditionalFormatting>
  <conditionalFormatting sqref="AC57:AC62">
    <cfRule type="cellIs" dxfId="33" priority="34" operator="equal">
      <formula>"Catastrófico"</formula>
    </cfRule>
    <cfRule type="cellIs" dxfId="32" priority="35" operator="equal">
      <formula>"Mayor"</formula>
    </cfRule>
    <cfRule type="cellIs" dxfId="31" priority="36" operator="equal">
      <formula>"Moderado"</formula>
    </cfRule>
    <cfRule type="cellIs" dxfId="30" priority="37" operator="equal">
      <formula>"Menor"</formula>
    </cfRule>
    <cfRule type="cellIs" dxfId="29" priority="38" operator="equal">
      <formula>"Leve"</formula>
    </cfRule>
  </conditionalFormatting>
  <conditionalFormatting sqref="AE57:AE62">
    <cfRule type="cellIs" dxfId="28" priority="30" operator="equal">
      <formula>"Extremo"</formula>
    </cfRule>
    <cfRule type="cellIs" dxfId="27" priority="31" operator="equal">
      <formula>"Alto"</formula>
    </cfRule>
    <cfRule type="cellIs" dxfId="26" priority="32" operator="equal">
      <formula>"Moderado"</formula>
    </cfRule>
    <cfRule type="cellIs" dxfId="25" priority="33" operator="equal">
      <formula>"Bajo"</formula>
    </cfRule>
  </conditionalFormatting>
  <conditionalFormatting sqref="J63">
    <cfRule type="cellIs" dxfId="24" priority="25" operator="equal">
      <formula>"Muy Alta"</formula>
    </cfRule>
    <cfRule type="cellIs" dxfId="23" priority="26" operator="equal">
      <formula>"Alta"</formula>
    </cfRule>
    <cfRule type="cellIs" dxfId="22" priority="27" operator="equal">
      <formula>"Media"</formula>
    </cfRule>
    <cfRule type="cellIs" dxfId="21" priority="28" operator="equal">
      <formula>"Baja"</formula>
    </cfRule>
    <cfRule type="cellIs" dxfId="20" priority="29" operator="equal">
      <formula>"Muy Baja"</formula>
    </cfRule>
  </conditionalFormatting>
  <conditionalFormatting sqref="P63">
    <cfRule type="cellIs" dxfId="19" priority="16" operator="equal">
      <formula>"Extremo"</formula>
    </cfRule>
    <cfRule type="cellIs" dxfId="18" priority="17" operator="equal">
      <formula>"Alto"</formula>
    </cfRule>
    <cfRule type="cellIs" dxfId="17" priority="18" operator="equal">
      <formula>"Moderado"</formula>
    </cfRule>
    <cfRule type="cellIs" dxfId="16" priority="19" operator="equal">
      <formula>"Bajo"</formula>
    </cfRule>
  </conditionalFormatting>
  <conditionalFormatting sqref="AA63:AA68">
    <cfRule type="cellIs" dxfId="15" priority="11" operator="equal">
      <formula>"Muy Alta"</formula>
    </cfRule>
    <cfRule type="cellIs" dxfId="14" priority="12" operator="equal">
      <formula>"Alta"</formula>
    </cfRule>
    <cfRule type="cellIs" dxfId="13" priority="13" operator="equal">
      <formula>"Media"</formula>
    </cfRule>
    <cfRule type="cellIs" dxfId="12" priority="14" operator="equal">
      <formula>"Baja"</formula>
    </cfRule>
    <cfRule type="cellIs" dxfId="11" priority="15" operator="equal">
      <formula>"Muy Baja"</formula>
    </cfRule>
  </conditionalFormatting>
  <conditionalFormatting sqref="AC63:AC68">
    <cfRule type="cellIs" dxfId="10" priority="6" operator="equal">
      <formula>"Catastrófico"</formula>
    </cfRule>
    <cfRule type="cellIs" dxfId="9" priority="7" operator="equal">
      <formula>"Mayor"</formula>
    </cfRule>
    <cfRule type="cellIs" dxfId="8" priority="8" operator="equal">
      <formula>"Moderado"</formula>
    </cfRule>
    <cfRule type="cellIs" dxfId="7" priority="9" operator="equal">
      <formula>"Menor"</formula>
    </cfRule>
    <cfRule type="cellIs" dxfId="6" priority="10" operator="equal">
      <formula>"Leve"</formula>
    </cfRule>
  </conditionalFormatting>
  <conditionalFormatting sqref="AE63:AE68">
    <cfRule type="cellIs" dxfId="5" priority="2" operator="equal">
      <formula>"Extremo"</formula>
    </cfRule>
    <cfRule type="cellIs" dxfId="4" priority="3" operator="equal">
      <formula>"Alto"</formula>
    </cfRule>
    <cfRule type="cellIs" dxfId="3" priority="4" operator="equal">
      <formula>"Moderado"</formula>
    </cfRule>
    <cfRule type="cellIs" dxfId="2" priority="5" operator="equal">
      <formula>"Bajo"</formula>
    </cfRule>
  </conditionalFormatting>
  <conditionalFormatting sqref="M11:M68">
    <cfRule type="containsText" dxfId="1" priority="1" operator="containsText" text="❌">
      <formula>NOT(ISERROR(SEARCH("❌",M11)))</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5C88D54C-BF7C-4FF9-A2A0-F50ED371D24C}">
          <x14:formula1>
            <xm:f>Procesos!$D$16:$D$22</xm:f>
          </x14:formula1>
          <xm:sqref>B11:C11 B15:C15 B21:C21 B27:C27 B33:C33 B39:C39 B45:C45 B51:C51 B57:C57 B63:C63 B12 C12</xm:sqref>
        </x14:dataValidation>
        <x14:dataValidation type="list" allowBlank="1" showInputMessage="1" showErrorMessage="1" xr:uid="{49822513-488E-4C03-9807-C121B307AB2C}">
          <x14:formula1>
            <xm:f>Procesos!$E$2:$E$24</xm:f>
          </x14:formula1>
          <xm:sqref>C5:P5</xm:sqref>
        </x14:dataValidation>
        <x14:dataValidation type="list" allowBlank="1" showInputMessage="1" showErrorMessage="1" xr:uid="{B105C94B-79A5-45B0-B081-EFEC779F0DA9}">
          <x14:formula1>
            <xm:f>Procesos!$A$2:$A$17</xm:f>
          </x14:formula1>
          <xm:sqref>C4:P4</xm:sqref>
        </x14:dataValidation>
        <x14:dataValidation type="list" allowBlank="1" showInputMessage="1" showErrorMessage="1" xr:uid="{00000000-0002-0000-0100-000000000000}">
          <x14:formula1>
            <xm:f>'Tabla Valoración controles'!$D$4:$D$6</xm:f>
          </x14:formula1>
          <xm:sqref>T11:T68</xm:sqref>
        </x14:dataValidation>
        <x14:dataValidation type="list" allowBlank="1" showInputMessage="1" showErrorMessage="1" xr:uid="{00000000-0002-0000-0100-000001000000}">
          <x14:formula1>
            <xm:f>'Tabla Valoración controles'!$D$7:$D$8</xm:f>
          </x14:formula1>
          <xm:sqref>U11:U68</xm:sqref>
        </x14:dataValidation>
        <x14:dataValidation type="list" allowBlank="1" showInputMessage="1" showErrorMessage="1" xr:uid="{00000000-0002-0000-0100-000002000000}">
          <x14:formula1>
            <xm:f>'Tabla Valoración controles'!$D$9:$D$10</xm:f>
          </x14:formula1>
          <xm:sqref>W11:W68</xm:sqref>
        </x14:dataValidation>
        <x14:dataValidation type="list" allowBlank="1" showInputMessage="1" showErrorMessage="1" xr:uid="{00000000-0002-0000-0100-000003000000}">
          <x14:formula1>
            <xm:f>'Tabla Valoración controles'!$D$11:$D$12</xm:f>
          </x14:formula1>
          <xm:sqref>X11:X68</xm:sqref>
        </x14:dataValidation>
        <x14:dataValidation type="list" allowBlank="1" showInputMessage="1" showErrorMessage="1" xr:uid="{00000000-0002-0000-0100-000005000000}">
          <x14:formula1>
            <xm:f>'Tabla Valoración controles'!$D$13:$D$14</xm:f>
          </x14:formula1>
          <xm:sqref>Y11:Y68</xm:sqref>
        </x14:dataValidation>
        <x14:dataValidation type="list" allowBlank="1" showInputMessage="1" showErrorMessage="1" xr:uid="{00000000-0002-0000-0100-000007000000}">
          <x14:formula1>
            <xm:f>'Opciones Tratamiento'!$E$2:$E$4</xm:f>
          </x14:formula1>
          <xm:sqref>C11:C68</xm:sqref>
        </x14:dataValidation>
        <x14:dataValidation type="list" allowBlank="1" showInputMessage="1" showErrorMessage="1" xr:uid="{00000000-0002-0000-0100-000008000000}">
          <x14:formula1>
            <xm:f>'Opciones Tratamiento'!$B$2:$B$5</xm:f>
          </x14:formula1>
          <xm:sqref>AF11:AF68</xm:sqref>
        </x14:dataValidation>
        <x14:dataValidation type="list" allowBlank="1" showInputMessage="1" showErrorMessage="1" xr:uid="{00000000-0002-0000-0100-000009000000}">
          <x14:formula1>
            <xm:f>'Tabla Impacto'!$F$210:$F$221</xm:f>
          </x14:formula1>
          <xm:sqref>L11:L68</xm:sqref>
        </x14:dataValidation>
        <x14:dataValidation type="custom" allowBlank="1" showInputMessage="1" showErrorMessage="1" error="Recuerde que las acciones se generan bajo la medida de mitigar el riesgo" xr:uid="{00000000-0002-0000-0100-00000A000000}">
          <x14:formula1>
            <xm:f>IF(OR(AF11='Opciones Tratamiento'!$B$2,AF11='Opciones Tratamiento'!$B$3,AF11='Opciones Tratamiento'!$B$4),ISBLANK(AF11),ISTEXT(AF11))</xm:f>
          </x14:formula1>
          <xm:sqref>AG11:AG68</xm:sqref>
        </x14:dataValidation>
        <x14:dataValidation type="custom" allowBlank="1" showInputMessage="1" showErrorMessage="1" error="Recuerde que las acciones se generan bajo la medida de mitigar el riesgo" xr:uid="{00000000-0002-0000-0100-00000B000000}">
          <x14:formula1>
            <xm:f>IF(OR(AF11='Opciones Tratamiento'!$B$2,AF11='Opciones Tratamiento'!$B$3,AF11='Opciones Tratamiento'!$B$4),ISBLANK(AF11),ISTEXT(AF11))</xm:f>
          </x14:formula1>
          <xm:sqref>AH11:AH68</xm:sqref>
        </x14:dataValidation>
        <x14:dataValidation type="custom" allowBlank="1" showInputMessage="1" showErrorMessage="1" error="Recuerde que las acciones se generan bajo la medida de mitigar el riesgo" xr:uid="{00000000-0002-0000-0100-00000C000000}">
          <x14:formula1>
            <xm:f>IF(OR(AF11='Opciones Tratamiento'!$B$2,AF11='Opciones Tratamiento'!$B$3,AF11='Opciones Tratamiento'!$B$4),ISBLANK(AF11),ISTEXT(AF11))</xm:f>
          </x14:formula1>
          <xm:sqref>AI11:AI68</xm:sqref>
        </x14:dataValidation>
        <x14:dataValidation type="custom" allowBlank="1" showInputMessage="1" showErrorMessage="1" error="Recuerde que las acciones se generan bajo la medida de mitigar el riesgo" xr:uid="{00000000-0002-0000-0100-00000D000000}">
          <x14:formula1>
            <xm:f>IF(OR(AF11='Opciones Tratamiento'!$B$2,AF11='Opciones Tratamiento'!$B$3,AF11='Opciones Tratamiento'!$B$4),ISBLANK(AF11),ISTEXT(AF11))</xm:f>
          </x14:formula1>
          <xm:sqref>AJ11:AJ68</xm:sqref>
        </x14:dataValidation>
        <x14:dataValidation type="custom" allowBlank="1" showInputMessage="1" showErrorMessage="1" error="Recuerde que las acciones se generan bajo la medida de mitigar el riesgo" xr:uid="{00000000-0002-0000-0100-00000E000000}">
          <x14:formula1>
            <xm:f>IF(OR(AF11='Opciones Tratamiento'!$B$2,AF11='Opciones Tratamiento'!$B$3,AF11='Opciones Tratamiento'!$B$4),ISBLANK(AF11),ISTEXT(AF11))</xm:f>
          </x14:formula1>
          <xm:sqref>AK11:AK68</xm:sqref>
        </x14:dataValidation>
        <x14:dataValidation type="list" allowBlank="1" showInputMessage="1" showErrorMessage="1" xr:uid="{1C5F2A9A-4B97-435B-AD1A-BB8C8F8B7B54}">
          <x14:formula1>
            <xm:f>'Tabla Impacto'!$D$229:$D$237</xm:f>
          </x14:formula1>
          <xm:sqref>F11:F14</xm:sqref>
        </x14:dataValidation>
        <x14:dataValidation type="list" allowBlank="1" showInputMessage="1" showErrorMessage="1" xr:uid="{387A4BF1-A15E-4650-B26D-7FD194908927}">
          <x14:formula1>
            <xm:f>'Opciones Tratamiento'!$B$9:$B$11</xm:f>
          </x14:formula1>
          <xm:sqref>AL11:AL68</xm:sqref>
        </x14:dataValidation>
        <x14:dataValidation type="list" allowBlank="1" showInputMessage="1" showErrorMessage="1" xr:uid="{00000000-0002-0000-0100-000006000000}">
          <x14:formula1>
            <xm:f>'Opciones Tratamiento'!$B$13:$B$19</xm:f>
          </x14:formula1>
          <xm:sqref>H11:H68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50" zoomScaleNormal="50" workbookViewId="0">
      <selection activeCell="J12" sqref="J12:K13"/>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69" t="s">
        <v>144</v>
      </c>
      <c r="C2" s="369"/>
      <c r="D2" s="369"/>
      <c r="E2" s="369"/>
      <c r="F2" s="369"/>
      <c r="G2" s="369"/>
      <c r="H2" s="369"/>
      <c r="I2" s="369"/>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69"/>
      <c r="C3" s="369"/>
      <c r="D3" s="369"/>
      <c r="E3" s="369"/>
      <c r="F3" s="369"/>
      <c r="G3" s="369"/>
      <c r="H3" s="369"/>
      <c r="I3" s="369"/>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69"/>
      <c r="C4" s="369"/>
      <c r="D4" s="369"/>
      <c r="E4" s="369"/>
      <c r="F4" s="369"/>
      <c r="G4" s="369"/>
      <c r="H4" s="369"/>
      <c r="I4" s="369"/>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82" t="s">
        <v>3</v>
      </c>
      <c r="C6" s="282"/>
      <c r="D6" s="283"/>
      <c r="E6" s="320" t="s">
        <v>108</v>
      </c>
      <c r="F6" s="321"/>
      <c r="G6" s="321"/>
      <c r="H6" s="321"/>
      <c r="I6" s="322"/>
      <c r="J6" s="332" t="str">
        <f ca="1">IF(AND('Mapa final'!$J$11="Muy Alta",'Mapa final'!$N$11="Leve"),CONCATENATE("R",'Mapa final'!$A$11),"")</f>
        <v/>
      </c>
      <c r="K6" s="333"/>
      <c r="L6" s="333" t="str">
        <f ca="1">IF(AND('Mapa final'!$J$15="Muy Alta",'Mapa final'!$N$15="Leve"),CONCATENATE("R",'Mapa final'!$A$15),"")</f>
        <v/>
      </c>
      <c r="M6" s="333"/>
      <c r="N6" s="333" t="str">
        <f ca="1">IF(AND('Mapa final'!$J$21="Muy Alta",'Mapa final'!$N$21="Leve"),CONCATENATE("R",'Mapa final'!$A$21),"")</f>
        <v/>
      </c>
      <c r="O6" s="335"/>
      <c r="P6" s="332" t="str">
        <f ca="1">IF(AND('Mapa final'!$J$11="Muy Alta",'Mapa final'!$N$11="Menor"),CONCATENATE("R",'Mapa final'!$A$11),"")</f>
        <v/>
      </c>
      <c r="Q6" s="333"/>
      <c r="R6" s="333" t="str">
        <f ca="1">IF(AND('Mapa final'!$J$15="Muy Alta",'Mapa final'!$N$15="Menor"),CONCATENATE("R",'Mapa final'!$A$15),"")</f>
        <v/>
      </c>
      <c r="S6" s="333"/>
      <c r="T6" s="333" t="str">
        <f ca="1">IF(AND('Mapa final'!$J$21="Muy Alta",'Mapa final'!$N$21="Menor"),CONCATENATE("R",'Mapa final'!$A$21),"")</f>
        <v/>
      </c>
      <c r="U6" s="335"/>
      <c r="V6" s="332" t="str">
        <f ca="1">IF(AND('Mapa final'!$J$11="Muy Alta",'Mapa final'!$N$11="Moderado"),CONCATENATE("R",'Mapa final'!$A$11),"")</f>
        <v/>
      </c>
      <c r="W6" s="333"/>
      <c r="X6" s="333" t="str">
        <f ca="1">IF(AND('Mapa final'!$J$15="Muy Alta",'Mapa final'!$N$15="Moderado"),CONCATENATE("R",'Mapa final'!$A$15),"")</f>
        <v/>
      </c>
      <c r="Y6" s="333"/>
      <c r="Z6" s="333" t="str">
        <f ca="1">IF(AND('Mapa final'!$J$21="Muy Alta",'Mapa final'!$N$21="Moderado"),CONCATENATE("R",'Mapa final'!$A$21),"")</f>
        <v/>
      </c>
      <c r="AA6" s="335"/>
      <c r="AB6" s="332" t="str">
        <f ca="1">IF(AND('Mapa final'!$J$11="Muy Alta",'Mapa final'!$N$11="Mayor"),CONCATENATE("R",'Mapa final'!$A$11),"")</f>
        <v/>
      </c>
      <c r="AC6" s="333"/>
      <c r="AD6" s="333" t="str">
        <f ca="1">IF(AND('Mapa final'!$J$15="Muy Alta",'Mapa final'!$N$15="Mayor"),CONCATENATE("R",'Mapa final'!$A$15),"")</f>
        <v/>
      </c>
      <c r="AE6" s="333"/>
      <c r="AF6" s="333" t="str">
        <f ca="1">IF(AND('Mapa final'!$J$21="Muy Alta",'Mapa final'!$N$21="Mayor"),CONCATENATE("R",'Mapa final'!$A$21),"")</f>
        <v/>
      </c>
      <c r="AG6" s="335"/>
      <c r="AH6" s="348" t="str">
        <f ca="1">IF(AND('Mapa final'!$J$11="Muy Alta",'Mapa final'!$N$11="Catastrófico"),CONCATENATE("R",'Mapa final'!$A$11),"")</f>
        <v/>
      </c>
      <c r="AI6" s="349"/>
      <c r="AJ6" s="349" t="str">
        <f ca="1">IF(AND('Mapa final'!$J$15="Muy Alta",'Mapa final'!$N$15="Catastrófico"),CONCATENATE("R",'Mapa final'!$A$15),"")</f>
        <v/>
      </c>
      <c r="AK6" s="349"/>
      <c r="AL6" s="349" t="str">
        <f ca="1">IF(AND('Mapa final'!$J$21="Muy Alta",'Mapa final'!$N$21="Catastrófico"),CONCATENATE("R",'Mapa final'!$A$21),"")</f>
        <v/>
      </c>
      <c r="AM6" s="350"/>
      <c r="AO6" s="284" t="s">
        <v>76</v>
      </c>
      <c r="AP6" s="285"/>
      <c r="AQ6" s="285"/>
      <c r="AR6" s="285"/>
      <c r="AS6" s="285"/>
      <c r="AT6" s="28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82"/>
      <c r="C7" s="282"/>
      <c r="D7" s="283"/>
      <c r="E7" s="323"/>
      <c r="F7" s="324"/>
      <c r="G7" s="324"/>
      <c r="H7" s="324"/>
      <c r="I7" s="325"/>
      <c r="J7" s="334"/>
      <c r="K7" s="331"/>
      <c r="L7" s="331"/>
      <c r="M7" s="331"/>
      <c r="N7" s="331"/>
      <c r="O7" s="330"/>
      <c r="P7" s="334"/>
      <c r="Q7" s="331"/>
      <c r="R7" s="331"/>
      <c r="S7" s="331"/>
      <c r="T7" s="331"/>
      <c r="U7" s="330"/>
      <c r="V7" s="334"/>
      <c r="W7" s="331"/>
      <c r="X7" s="331"/>
      <c r="Y7" s="331"/>
      <c r="Z7" s="331"/>
      <c r="AA7" s="330"/>
      <c r="AB7" s="334"/>
      <c r="AC7" s="331"/>
      <c r="AD7" s="331"/>
      <c r="AE7" s="331"/>
      <c r="AF7" s="331"/>
      <c r="AG7" s="330"/>
      <c r="AH7" s="342"/>
      <c r="AI7" s="343"/>
      <c r="AJ7" s="343"/>
      <c r="AK7" s="343"/>
      <c r="AL7" s="343"/>
      <c r="AM7" s="344"/>
      <c r="AN7" s="84"/>
      <c r="AO7" s="287"/>
      <c r="AP7" s="288"/>
      <c r="AQ7" s="288"/>
      <c r="AR7" s="288"/>
      <c r="AS7" s="288"/>
      <c r="AT7" s="28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82"/>
      <c r="C8" s="282"/>
      <c r="D8" s="283"/>
      <c r="E8" s="323"/>
      <c r="F8" s="324"/>
      <c r="G8" s="324"/>
      <c r="H8" s="324"/>
      <c r="I8" s="325"/>
      <c r="J8" s="334" t="str">
        <f ca="1">IF(AND('Mapa final'!$J$27="Muy Alta",'Mapa final'!$N$27="Leve"),CONCATENATE("R",'Mapa final'!$A$27),"")</f>
        <v/>
      </c>
      <c r="K8" s="331"/>
      <c r="L8" s="329" t="str">
        <f ca="1">IF(AND('Mapa final'!$J$33="Muy Alta",'Mapa final'!$N$33="Leve"),CONCATENATE("R",'Mapa final'!$A$33),"")</f>
        <v/>
      </c>
      <c r="M8" s="329"/>
      <c r="N8" s="329" t="str">
        <f ca="1">IF(AND('Mapa final'!$J$39="Muy Alta",'Mapa final'!$N$39="Leve"),CONCATENATE("R",'Mapa final'!$A$39),"")</f>
        <v/>
      </c>
      <c r="O8" s="330"/>
      <c r="P8" s="334" t="str">
        <f ca="1">IF(AND('Mapa final'!$J$27="Muy Alta",'Mapa final'!$N$27="Menor"),CONCATENATE("R",'Mapa final'!$A$27),"")</f>
        <v/>
      </c>
      <c r="Q8" s="331"/>
      <c r="R8" s="329" t="str">
        <f ca="1">IF(AND('Mapa final'!$J$33="Muy Alta",'Mapa final'!$N$33="Menor"),CONCATENATE("R",'Mapa final'!$A$33),"")</f>
        <v/>
      </c>
      <c r="S8" s="329"/>
      <c r="T8" s="329" t="str">
        <f ca="1">IF(AND('Mapa final'!$J$39="Muy Alta",'Mapa final'!$N$39="Menor"),CONCATENATE("R",'Mapa final'!$A$39),"")</f>
        <v/>
      </c>
      <c r="U8" s="330"/>
      <c r="V8" s="334" t="str">
        <f ca="1">IF(AND('Mapa final'!$J$27="Muy Alta",'Mapa final'!$N$27="Moderado"),CONCATENATE("R",'Mapa final'!$A$27),"")</f>
        <v/>
      </c>
      <c r="W8" s="331"/>
      <c r="X8" s="329" t="str">
        <f ca="1">IF(AND('Mapa final'!$J$33="Muy Alta",'Mapa final'!$N$33="Moderado"),CONCATENATE("R",'Mapa final'!$A$33),"")</f>
        <v/>
      </c>
      <c r="Y8" s="329"/>
      <c r="Z8" s="329" t="str">
        <f ca="1">IF(AND('Mapa final'!$J$39="Muy Alta",'Mapa final'!$N$39="Moderado"),CONCATENATE("R",'Mapa final'!$A$39),"")</f>
        <v/>
      </c>
      <c r="AA8" s="330"/>
      <c r="AB8" s="334" t="str">
        <f ca="1">IF(AND('Mapa final'!$J$27="Muy Alta",'Mapa final'!$N$27="Mayor"),CONCATENATE("R",'Mapa final'!$A$27),"")</f>
        <v/>
      </c>
      <c r="AC8" s="331"/>
      <c r="AD8" s="329" t="str">
        <f ca="1">IF(AND('Mapa final'!$J$33="Muy Alta",'Mapa final'!$N$33="Mayor"),CONCATENATE("R",'Mapa final'!$A$33),"")</f>
        <v/>
      </c>
      <c r="AE8" s="329"/>
      <c r="AF8" s="329" t="str">
        <f ca="1">IF(AND('Mapa final'!$J$39="Muy Alta",'Mapa final'!$N$39="Mayor"),CONCATENATE("R",'Mapa final'!$A$39),"")</f>
        <v/>
      </c>
      <c r="AG8" s="330"/>
      <c r="AH8" s="342" t="str">
        <f ca="1">IF(AND('Mapa final'!$J$27="Muy Alta",'Mapa final'!$N$27="Catastrófico"),CONCATENATE("R",'Mapa final'!$A$27),"")</f>
        <v/>
      </c>
      <c r="AI8" s="343"/>
      <c r="AJ8" s="343" t="str">
        <f ca="1">IF(AND('Mapa final'!$J$33="Muy Alta",'Mapa final'!$N$33="Catastrófico"),CONCATENATE("R",'Mapa final'!$A$33),"")</f>
        <v/>
      </c>
      <c r="AK8" s="343"/>
      <c r="AL8" s="343" t="str">
        <f ca="1">IF(AND('Mapa final'!$J$39="Muy Alta",'Mapa final'!$N$39="Catastrófico"),CONCATENATE("R",'Mapa final'!$A$39),"")</f>
        <v/>
      </c>
      <c r="AM8" s="344"/>
      <c r="AN8" s="84"/>
      <c r="AO8" s="287"/>
      <c r="AP8" s="288"/>
      <c r="AQ8" s="288"/>
      <c r="AR8" s="288"/>
      <c r="AS8" s="288"/>
      <c r="AT8" s="28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82"/>
      <c r="C9" s="282"/>
      <c r="D9" s="283"/>
      <c r="E9" s="323"/>
      <c r="F9" s="324"/>
      <c r="G9" s="324"/>
      <c r="H9" s="324"/>
      <c r="I9" s="325"/>
      <c r="J9" s="334"/>
      <c r="K9" s="331"/>
      <c r="L9" s="329"/>
      <c r="M9" s="329"/>
      <c r="N9" s="329"/>
      <c r="O9" s="330"/>
      <c r="P9" s="334"/>
      <c r="Q9" s="331"/>
      <c r="R9" s="329"/>
      <c r="S9" s="329"/>
      <c r="T9" s="329"/>
      <c r="U9" s="330"/>
      <c r="V9" s="334"/>
      <c r="W9" s="331"/>
      <c r="X9" s="329"/>
      <c r="Y9" s="329"/>
      <c r="Z9" s="329"/>
      <c r="AA9" s="330"/>
      <c r="AB9" s="334"/>
      <c r="AC9" s="331"/>
      <c r="AD9" s="329"/>
      <c r="AE9" s="329"/>
      <c r="AF9" s="329"/>
      <c r="AG9" s="330"/>
      <c r="AH9" s="342"/>
      <c r="AI9" s="343"/>
      <c r="AJ9" s="343"/>
      <c r="AK9" s="343"/>
      <c r="AL9" s="343"/>
      <c r="AM9" s="344"/>
      <c r="AN9" s="84"/>
      <c r="AO9" s="287"/>
      <c r="AP9" s="288"/>
      <c r="AQ9" s="288"/>
      <c r="AR9" s="288"/>
      <c r="AS9" s="288"/>
      <c r="AT9" s="28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82"/>
      <c r="C10" s="282"/>
      <c r="D10" s="283"/>
      <c r="E10" s="323"/>
      <c r="F10" s="324"/>
      <c r="G10" s="324"/>
      <c r="H10" s="324"/>
      <c r="I10" s="325"/>
      <c r="J10" s="334" t="str">
        <f ca="1">IF(AND('Mapa final'!$J$45="Muy Alta",'Mapa final'!$N$45="Leve"),CONCATENATE("R",'Mapa final'!$A$45),"")</f>
        <v/>
      </c>
      <c r="K10" s="331"/>
      <c r="L10" s="329" t="str">
        <f ca="1">IF(AND('Mapa final'!$J$51="Muy Alta",'Mapa final'!$N$51="Leve"),CONCATENATE("R",'Mapa final'!$A$51),"")</f>
        <v/>
      </c>
      <c r="M10" s="329"/>
      <c r="N10" s="329" t="str">
        <f ca="1">IF(AND('Mapa final'!$J$57="Muy Alta",'Mapa final'!$N$57="Leve"),CONCATENATE("R",'Mapa final'!$A$57),"")</f>
        <v/>
      </c>
      <c r="O10" s="330"/>
      <c r="P10" s="334" t="str">
        <f ca="1">IF(AND('Mapa final'!$J$45="Muy Alta",'Mapa final'!$N$45="Menor"),CONCATENATE("R",'Mapa final'!$A$45),"")</f>
        <v/>
      </c>
      <c r="Q10" s="331"/>
      <c r="R10" s="329" t="str">
        <f ca="1">IF(AND('Mapa final'!$J$51="Muy Alta",'Mapa final'!$N$51="Menor"),CONCATENATE("R",'Mapa final'!$A$51),"")</f>
        <v/>
      </c>
      <c r="S10" s="329"/>
      <c r="T10" s="329" t="str">
        <f ca="1">IF(AND('Mapa final'!$J$57="Muy Alta",'Mapa final'!$N$57="Menor"),CONCATENATE("R",'Mapa final'!$A$57),"")</f>
        <v/>
      </c>
      <c r="U10" s="330"/>
      <c r="V10" s="334" t="str">
        <f ca="1">IF(AND('Mapa final'!$J$45="Muy Alta",'Mapa final'!$N$45="Moderado"),CONCATENATE("R",'Mapa final'!$A$45),"")</f>
        <v/>
      </c>
      <c r="W10" s="331"/>
      <c r="X10" s="329" t="str">
        <f ca="1">IF(AND('Mapa final'!$J$51="Muy Alta",'Mapa final'!$N$51="Moderado"),CONCATENATE("R",'Mapa final'!$A$51),"")</f>
        <v/>
      </c>
      <c r="Y10" s="329"/>
      <c r="Z10" s="329" t="str">
        <f ca="1">IF(AND('Mapa final'!$J$57="Muy Alta",'Mapa final'!$N$57="Moderado"),CONCATENATE("R",'Mapa final'!$A$57),"")</f>
        <v/>
      </c>
      <c r="AA10" s="330"/>
      <c r="AB10" s="334" t="str">
        <f ca="1">IF(AND('Mapa final'!$J$45="Muy Alta",'Mapa final'!$N$45="Mayor"),CONCATENATE("R",'Mapa final'!$A$45),"")</f>
        <v/>
      </c>
      <c r="AC10" s="331"/>
      <c r="AD10" s="329" t="str">
        <f ca="1">IF(AND('Mapa final'!$J$51="Muy Alta",'Mapa final'!$N$51="Mayor"),CONCATENATE("R",'Mapa final'!$A$51),"")</f>
        <v/>
      </c>
      <c r="AE10" s="329"/>
      <c r="AF10" s="329" t="str">
        <f ca="1">IF(AND('Mapa final'!$J$57="Muy Alta",'Mapa final'!$N$57="Mayor"),CONCATENATE("R",'Mapa final'!$A$57),"")</f>
        <v/>
      </c>
      <c r="AG10" s="330"/>
      <c r="AH10" s="342" t="str">
        <f ca="1">IF(AND('Mapa final'!$J$45="Muy Alta",'Mapa final'!$N$45="Catastrófico"),CONCATENATE("R",'Mapa final'!$A$45),"")</f>
        <v/>
      </c>
      <c r="AI10" s="343"/>
      <c r="AJ10" s="343" t="str">
        <f ca="1">IF(AND('Mapa final'!$J$51="Muy Alta",'Mapa final'!$N$51="Catastrófico"),CONCATENATE("R",'Mapa final'!$A$51),"")</f>
        <v/>
      </c>
      <c r="AK10" s="343"/>
      <c r="AL10" s="343" t="str">
        <f ca="1">IF(AND('Mapa final'!$J$57="Muy Alta",'Mapa final'!$N$57="Catastrófico"),CONCATENATE("R",'Mapa final'!$A$57),"")</f>
        <v/>
      </c>
      <c r="AM10" s="344"/>
      <c r="AN10" s="84"/>
      <c r="AO10" s="287"/>
      <c r="AP10" s="288"/>
      <c r="AQ10" s="288"/>
      <c r="AR10" s="288"/>
      <c r="AS10" s="288"/>
      <c r="AT10" s="28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82"/>
      <c r="C11" s="282"/>
      <c r="D11" s="283"/>
      <c r="E11" s="323"/>
      <c r="F11" s="324"/>
      <c r="G11" s="324"/>
      <c r="H11" s="324"/>
      <c r="I11" s="325"/>
      <c r="J11" s="334"/>
      <c r="K11" s="331"/>
      <c r="L11" s="329"/>
      <c r="M11" s="329"/>
      <c r="N11" s="329"/>
      <c r="O11" s="330"/>
      <c r="P11" s="334"/>
      <c r="Q11" s="331"/>
      <c r="R11" s="329"/>
      <c r="S11" s="329"/>
      <c r="T11" s="329"/>
      <c r="U11" s="330"/>
      <c r="V11" s="334"/>
      <c r="W11" s="331"/>
      <c r="X11" s="329"/>
      <c r="Y11" s="329"/>
      <c r="Z11" s="329"/>
      <c r="AA11" s="330"/>
      <c r="AB11" s="334"/>
      <c r="AC11" s="331"/>
      <c r="AD11" s="329"/>
      <c r="AE11" s="329"/>
      <c r="AF11" s="329"/>
      <c r="AG11" s="330"/>
      <c r="AH11" s="342"/>
      <c r="AI11" s="343"/>
      <c r="AJ11" s="343"/>
      <c r="AK11" s="343"/>
      <c r="AL11" s="343"/>
      <c r="AM11" s="344"/>
      <c r="AN11" s="84"/>
      <c r="AO11" s="287"/>
      <c r="AP11" s="288"/>
      <c r="AQ11" s="288"/>
      <c r="AR11" s="288"/>
      <c r="AS11" s="288"/>
      <c r="AT11" s="28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82"/>
      <c r="C12" s="282"/>
      <c r="D12" s="283"/>
      <c r="E12" s="323"/>
      <c r="F12" s="324"/>
      <c r="G12" s="324"/>
      <c r="H12" s="324"/>
      <c r="I12" s="325"/>
      <c r="J12" s="334" t="str">
        <f ca="1">IF(AND('Mapa final'!$J$63="Muy Alta",'Mapa final'!$N$63="Leve"),CONCATENATE("R",'Mapa final'!$A$63),"")</f>
        <v/>
      </c>
      <c r="K12" s="331"/>
      <c r="L12" s="329" t="str">
        <f>IF(AND('Mapa final'!$J$69="Muy Alta",'Mapa final'!$N$69="Leve"),CONCATENATE("R",'Mapa final'!$A$69),"")</f>
        <v/>
      </c>
      <c r="M12" s="329"/>
      <c r="N12" s="329" t="str">
        <f>IF(AND('Mapa final'!$J$75="Muy Alta",'Mapa final'!$N$75="Leve"),CONCATENATE("R",'Mapa final'!$A$75),"")</f>
        <v/>
      </c>
      <c r="O12" s="330"/>
      <c r="P12" s="334" t="str">
        <f ca="1">IF(AND('Mapa final'!$J$63="Muy Alta",'Mapa final'!$N$63="Menor"),CONCATENATE("R",'Mapa final'!$A$63),"")</f>
        <v/>
      </c>
      <c r="Q12" s="331"/>
      <c r="R12" s="329" t="str">
        <f>IF(AND('Mapa final'!$J$69="Muy Alta",'Mapa final'!$N$69="Menor"),CONCATENATE("R",'Mapa final'!$A$69),"")</f>
        <v/>
      </c>
      <c r="S12" s="329"/>
      <c r="T12" s="329" t="str">
        <f>IF(AND('Mapa final'!$J$75="Muy Alta",'Mapa final'!$N$75="Menor"),CONCATENATE("R",'Mapa final'!$A$75),"")</f>
        <v/>
      </c>
      <c r="U12" s="330"/>
      <c r="V12" s="334" t="str">
        <f ca="1">IF(AND('Mapa final'!$J$63="Muy Alta",'Mapa final'!$N$63="Moderado"),CONCATENATE("R",'Mapa final'!$A$63),"")</f>
        <v/>
      </c>
      <c r="W12" s="331"/>
      <c r="X12" s="329" t="str">
        <f>IF(AND('Mapa final'!$J$69="Muy Alta",'Mapa final'!$N$69="Moderado"),CONCATENATE("R",'Mapa final'!$A$69),"")</f>
        <v/>
      </c>
      <c r="Y12" s="329"/>
      <c r="Z12" s="329" t="str">
        <f>IF(AND('Mapa final'!$J$75="Muy Alta",'Mapa final'!$N$75="Moderado"),CONCATENATE("R",'Mapa final'!$A$75),"")</f>
        <v/>
      </c>
      <c r="AA12" s="330"/>
      <c r="AB12" s="334" t="str">
        <f ca="1">IF(AND('Mapa final'!$J$63="Muy Alta",'Mapa final'!$N$63="Mayor"),CONCATENATE("R",'Mapa final'!$A$63),"")</f>
        <v/>
      </c>
      <c r="AC12" s="331"/>
      <c r="AD12" s="329" t="str">
        <f>IF(AND('Mapa final'!$J$69="Muy Alta",'Mapa final'!$N$69="Mayor"),CONCATENATE("R",'Mapa final'!$A$69),"")</f>
        <v/>
      </c>
      <c r="AE12" s="329"/>
      <c r="AF12" s="329" t="str">
        <f>IF(AND('Mapa final'!$J$75="Muy Alta",'Mapa final'!$N$75="Mayor"),CONCATENATE("R",'Mapa final'!$A$75),"")</f>
        <v/>
      </c>
      <c r="AG12" s="330"/>
      <c r="AH12" s="342" t="str">
        <f ca="1">IF(AND('Mapa final'!$J$63="Muy Alta",'Mapa final'!$N$63="Catastrófico"),CONCATENATE("R",'Mapa final'!$A$63),"")</f>
        <v/>
      </c>
      <c r="AI12" s="343"/>
      <c r="AJ12" s="343" t="str">
        <f>IF(AND('Mapa final'!$J$69="Muy Alta",'Mapa final'!$N$69="Catastrófico"),CONCATENATE("R",'Mapa final'!$A$69),"")</f>
        <v/>
      </c>
      <c r="AK12" s="343"/>
      <c r="AL12" s="343" t="str">
        <f>IF(AND('Mapa final'!$J$75="Muy Alta",'Mapa final'!$N$75="Catastrófico"),CONCATENATE("R",'Mapa final'!$A$75),"")</f>
        <v/>
      </c>
      <c r="AM12" s="344"/>
      <c r="AN12" s="84"/>
      <c r="AO12" s="287"/>
      <c r="AP12" s="288"/>
      <c r="AQ12" s="288"/>
      <c r="AR12" s="288"/>
      <c r="AS12" s="288"/>
      <c r="AT12" s="28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82"/>
      <c r="C13" s="282"/>
      <c r="D13" s="283"/>
      <c r="E13" s="326"/>
      <c r="F13" s="327"/>
      <c r="G13" s="327"/>
      <c r="H13" s="327"/>
      <c r="I13" s="328"/>
      <c r="J13" s="334"/>
      <c r="K13" s="331"/>
      <c r="L13" s="331"/>
      <c r="M13" s="331"/>
      <c r="N13" s="331"/>
      <c r="O13" s="330"/>
      <c r="P13" s="334"/>
      <c r="Q13" s="331"/>
      <c r="R13" s="331"/>
      <c r="S13" s="331"/>
      <c r="T13" s="331"/>
      <c r="U13" s="330"/>
      <c r="V13" s="334"/>
      <c r="W13" s="331"/>
      <c r="X13" s="331"/>
      <c r="Y13" s="331"/>
      <c r="Z13" s="331"/>
      <c r="AA13" s="330"/>
      <c r="AB13" s="334"/>
      <c r="AC13" s="331"/>
      <c r="AD13" s="331"/>
      <c r="AE13" s="331"/>
      <c r="AF13" s="331"/>
      <c r="AG13" s="330"/>
      <c r="AH13" s="345"/>
      <c r="AI13" s="346"/>
      <c r="AJ13" s="346"/>
      <c r="AK13" s="346"/>
      <c r="AL13" s="346"/>
      <c r="AM13" s="347"/>
      <c r="AN13" s="84"/>
      <c r="AO13" s="290"/>
      <c r="AP13" s="291"/>
      <c r="AQ13" s="291"/>
      <c r="AR13" s="291"/>
      <c r="AS13" s="291"/>
      <c r="AT13" s="29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82"/>
      <c r="C14" s="282"/>
      <c r="D14" s="283"/>
      <c r="E14" s="320" t="s">
        <v>107</v>
      </c>
      <c r="F14" s="321"/>
      <c r="G14" s="321"/>
      <c r="H14" s="321"/>
      <c r="I14" s="321"/>
      <c r="J14" s="357" t="str">
        <f ca="1">IF(AND('Mapa final'!$J$11="Alta",'Mapa final'!$N$11="Leve"),CONCATENATE("R",'Mapa final'!$A$11),"")</f>
        <v/>
      </c>
      <c r="K14" s="358"/>
      <c r="L14" s="358" t="str">
        <f ca="1">IF(AND('Mapa final'!$J$15="Alta",'Mapa final'!$N$15="Leve"),CONCATENATE("R",'Mapa final'!$A$15),"")</f>
        <v/>
      </c>
      <c r="M14" s="358"/>
      <c r="N14" s="358" t="str">
        <f ca="1">IF(AND('Mapa final'!$J$21="Alta",'Mapa final'!$N$21="Leve"),CONCATENATE("R",'Mapa final'!$A$21),"")</f>
        <v/>
      </c>
      <c r="O14" s="359"/>
      <c r="P14" s="357" t="str">
        <f ca="1">IF(AND('Mapa final'!$J$11="Alta",'Mapa final'!$N$11="Menor"),CONCATENATE("R",'Mapa final'!$A$11),"")</f>
        <v/>
      </c>
      <c r="Q14" s="358"/>
      <c r="R14" s="358" t="str">
        <f ca="1">IF(AND('Mapa final'!$J$15="Alta",'Mapa final'!$N$15="Menor"),CONCATENATE("R",'Mapa final'!$A$15),"")</f>
        <v/>
      </c>
      <c r="S14" s="358"/>
      <c r="T14" s="358" t="str">
        <f ca="1">IF(AND('Mapa final'!$J$21="Alta",'Mapa final'!$N$21="Menor"),CONCATENATE("R",'Mapa final'!$A$21),"")</f>
        <v/>
      </c>
      <c r="U14" s="359"/>
      <c r="V14" s="332" t="str">
        <f ca="1">IF(AND('Mapa final'!$J$11="Alta",'Mapa final'!$N$11="Moderado"),CONCATENATE("R",'Mapa final'!$A$11),"")</f>
        <v/>
      </c>
      <c r="W14" s="333"/>
      <c r="X14" s="333" t="str">
        <f ca="1">IF(AND('Mapa final'!$J$15="Alta",'Mapa final'!$N$15="Moderado"),CONCATENATE("R",'Mapa final'!$A$15),"")</f>
        <v/>
      </c>
      <c r="Y14" s="333"/>
      <c r="Z14" s="333" t="str">
        <f ca="1">IF(AND('Mapa final'!$J$21="Alta",'Mapa final'!$N$21="Moderado"),CONCATENATE("R",'Mapa final'!$A$21),"")</f>
        <v/>
      </c>
      <c r="AA14" s="335"/>
      <c r="AB14" s="332" t="str">
        <f ca="1">IF(AND('Mapa final'!$J$11="Alta",'Mapa final'!$N$11="Mayor"),CONCATENATE("R",'Mapa final'!$A$11),"")</f>
        <v/>
      </c>
      <c r="AC14" s="333"/>
      <c r="AD14" s="333" t="str">
        <f ca="1">IF(AND('Mapa final'!$J$15="Alta",'Mapa final'!$N$15="Mayor"),CONCATENATE("R",'Mapa final'!$A$15),"")</f>
        <v/>
      </c>
      <c r="AE14" s="333"/>
      <c r="AF14" s="333" t="str">
        <f ca="1">IF(AND('Mapa final'!$J$21="Alta",'Mapa final'!$N$21="Mayor"),CONCATENATE("R",'Mapa final'!$A$21),"")</f>
        <v/>
      </c>
      <c r="AG14" s="335"/>
      <c r="AH14" s="348" t="str">
        <f ca="1">IF(AND('Mapa final'!$J$11="Alta",'Mapa final'!$N$11="Catastrófico"),CONCATENATE("R",'Mapa final'!$A$11),"")</f>
        <v/>
      </c>
      <c r="AI14" s="349"/>
      <c r="AJ14" s="349" t="str">
        <f ca="1">IF(AND('Mapa final'!$J$15="Alta",'Mapa final'!$N$15="Catastrófico"),CONCATENATE("R",'Mapa final'!$A$15),"")</f>
        <v/>
      </c>
      <c r="AK14" s="349"/>
      <c r="AL14" s="349" t="str">
        <f ca="1">IF(AND('Mapa final'!$J$21="Alta",'Mapa final'!$N$21="Catastrófico"),CONCATENATE("R",'Mapa final'!$A$21),"")</f>
        <v/>
      </c>
      <c r="AM14" s="350"/>
      <c r="AN14" s="84"/>
      <c r="AO14" s="293" t="s">
        <v>77</v>
      </c>
      <c r="AP14" s="294"/>
      <c r="AQ14" s="294"/>
      <c r="AR14" s="294"/>
      <c r="AS14" s="294"/>
      <c r="AT14" s="295"/>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82"/>
      <c r="C15" s="282"/>
      <c r="D15" s="283"/>
      <c r="E15" s="323"/>
      <c r="F15" s="324"/>
      <c r="G15" s="324"/>
      <c r="H15" s="324"/>
      <c r="I15" s="337"/>
      <c r="J15" s="351"/>
      <c r="K15" s="352"/>
      <c r="L15" s="352"/>
      <c r="M15" s="352"/>
      <c r="N15" s="352"/>
      <c r="O15" s="353"/>
      <c r="P15" s="351"/>
      <c r="Q15" s="352"/>
      <c r="R15" s="352"/>
      <c r="S15" s="352"/>
      <c r="T15" s="352"/>
      <c r="U15" s="353"/>
      <c r="V15" s="334"/>
      <c r="W15" s="331"/>
      <c r="X15" s="331"/>
      <c r="Y15" s="331"/>
      <c r="Z15" s="331"/>
      <c r="AA15" s="330"/>
      <c r="AB15" s="334"/>
      <c r="AC15" s="331"/>
      <c r="AD15" s="331"/>
      <c r="AE15" s="331"/>
      <c r="AF15" s="331"/>
      <c r="AG15" s="330"/>
      <c r="AH15" s="342"/>
      <c r="AI15" s="343"/>
      <c r="AJ15" s="343"/>
      <c r="AK15" s="343"/>
      <c r="AL15" s="343"/>
      <c r="AM15" s="344"/>
      <c r="AN15" s="84"/>
      <c r="AO15" s="296"/>
      <c r="AP15" s="297"/>
      <c r="AQ15" s="297"/>
      <c r="AR15" s="297"/>
      <c r="AS15" s="297"/>
      <c r="AT15" s="298"/>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82"/>
      <c r="C16" s="282"/>
      <c r="D16" s="283"/>
      <c r="E16" s="323"/>
      <c r="F16" s="324"/>
      <c r="G16" s="324"/>
      <c r="H16" s="324"/>
      <c r="I16" s="337"/>
      <c r="J16" s="351" t="str">
        <f ca="1">IF(AND('Mapa final'!$J$27="Alta",'Mapa final'!$N$27="Leve"),CONCATENATE("R",'Mapa final'!$A$27),"")</f>
        <v/>
      </c>
      <c r="K16" s="352"/>
      <c r="L16" s="352" t="str">
        <f ca="1">IF(AND('Mapa final'!$J$33="Alta",'Mapa final'!$N$33="Leve"),CONCATENATE("R",'Mapa final'!$A$33),"")</f>
        <v/>
      </c>
      <c r="M16" s="352"/>
      <c r="N16" s="352" t="str">
        <f ca="1">IF(AND('Mapa final'!$J$39="Alta",'Mapa final'!$N$39="Leve"),CONCATENATE("R",'Mapa final'!$A$39),"")</f>
        <v/>
      </c>
      <c r="O16" s="353"/>
      <c r="P16" s="351" t="str">
        <f ca="1">IF(AND('Mapa final'!$J$27="Alta",'Mapa final'!$N$27="Menor"),CONCATENATE("R",'Mapa final'!$A$27),"")</f>
        <v/>
      </c>
      <c r="Q16" s="352"/>
      <c r="R16" s="352" t="str">
        <f ca="1">IF(AND('Mapa final'!$J$33="Alta",'Mapa final'!$N$33="Menor"),CONCATENATE("R",'Mapa final'!$A$33),"")</f>
        <v/>
      </c>
      <c r="S16" s="352"/>
      <c r="T16" s="352" t="str">
        <f ca="1">IF(AND('Mapa final'!$J$39="Alta",'Mapa final'!$N$39="Menor"),CONCATENATE("R",'Mapa final'!$A$39),"")</f>
        <v/>
      </c>
      <c r="U16" s="353"/>
      <c r="V16" s="334" t="str">
        <f ca="1">IF(AND('Mapa final'!$J$27="Alta",'Mapa final'!$N$27="Moderado"),CONCATENATE("R",'Mapa final'!$A$27),"")</f>
        <v/>
      </c>
      <c r="W16" s="331"/>
      <c r="X16" s="329" t="str">
        <f ca="1">IF(AND('Mapa final'!$J$33="Alta",'Mapa final'!$N$33="Moderado"),CONCATENATE("R",'Mapa final'!$A$33),"")</f>
        <v/>
      </c>
      <c r="Y16" s="329"/>
      <c r="Z16" s="329" t="str">
        <f ca="1">IF(AND('Mapa final'!$J$39="Alta",'Mapa final'!$N$39="Moderado"),CONCATENATE("R",'Mapa final'!$A$39),"")</f>
        <v/>
      </c>
      <c r="AA16" s="330"/>
      <c r="AB16" s="334" t="str">
        <f ca="1">IF(AND('Mapa final'!$J$27="Alta",'Mapa final'!$N$27="Mayor"),CONCATENATE("R",'Mapa final'!$A$27),"")</f>
        <v/>
      </c>
      <c r="AC16" s="331"/>
      <c r="AD16" s="329" t="str">
        <f ca="1">IF(AND('Mapa final'!$J$33="Alta",'Mapa final'!$N$33="Mayor"),CONCATENATE("R",'Mapa final'!$A$33),"")</f>
        <v/>
      </c>
      <c r="AE16" s="329"/>
      <c r="AF16" s="329" t="str">
        <f ca="1">IF(AND('Mapa final'!$J$39="Alta",'Mapa final'!$N$39="Mayor"),CONCATENATE("R",'Mapa final'!$A$39),"")</f>
        <v/>
      </c>
      <c r="AG16" s="330"/>
      <c r="AH16" s="342" t="str">
        <f ca="1">IF(AND('Mapa final'!$J$27="Alta",'Mapa final'!$N$27="Catastrófico"),CONCATENATE("R",'Mapa final'!$A$27),"")</f>
        <v/>
      </c>
      <c r="AI16" s="343"/>
      <c r="AJ16" s="343" t="str">
        <f ca="1">IF(AND('Mapa final'!$J$33="Alta",'Mapa final'!$N$33="Catastrófico"),CONCATENATE("R",'Mapa final'!$A$33),"")</f>
        <v/>
      </c>
      <c r="AK16" s="343"/>
      <c r="AL16" s="343" t="str">
        <f ca="1">IF(AND('Mapa final'!$J$39="Alta",'Mapa final'!$N$39="Catastrófico"),CONCATENATE("R",'Mapa final'!$A$39),"")</f>
        <v/>
      </c>
      <c r="AM16" s="344"/>
      <c r="AN16" s="84"/>
      <c r="AO16" s="296"/>
      <c r="AP16" s="297"/>
      <c r="AQ16" s="297"/>
      <c r="AR16" s="297"/>
      <c r="AS16" s="297"/>
      <c r="AT16" s="29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82"/>
      <c r="C17" s="282"/>
      <c r="D17" s="283"/>
      <c r="E17" s="323"/>
      <c r="F17" s="324"/>
      <c r="G17" s="324"/>
      <c r="H17" s="324"/>
      <c r="I17" s="337"/>
      <c r="J17" s="351"/>
      <c r="K17" s="352"/>
      <c r="L17" s="352"/>
      <c r="M17" s="352"/>
      <c r="N17" s="352"/>
      <c r="O17" s="353"/>
      <c r="P17" s="351"/>
      <c r="Q17" s="352"/>
      <c r="R17" s="352"/>
      <c r="S17" s="352"/>
      <c r="T17" s="352"/>
      <c r="U17" s="353"/>
      <c r="V17" s="334"/>
      <c r="W17" s="331"/>
      <c r="X17" s="329"/>
      <c r="Y17" s="329"/>
      <c r="Z17" s="329"/>
      <c r="AA17" s="330"/>
      <c r="AB17" s="334"/>
      <c r="AC17" s="331"/>
      <c r="AD17" s="329"/>
      <c r="AE17" s="329"/>
      <c r="AF17" s="329"/>
      <c r="AG17" s="330"/>
      <c r="AH17" s="342"/>
      <c r="AI17" s="343"/>
      <c r="AJ17" s="343"/>
      <c r="AK17" s="343"/>
      <c r="AL17" s="343"/>
      <c r="AM17" s="344"/>
      <c r="AN17" s="84"/>
      <c r="AO17" s="296"/>
      <c r="AP17" s="297"/>
      <c r="AQ17" s="297"/>
      <c r="AR17" s="297"/>
      <c r="AS17" s="297"/>
      <c r="AT17" s="29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82"/>
      <c r="C18" s="282"/>
      <c r="D18" s="283"/>
      <c r="E18" s="323"/>
      <c r="F18" s="324"/>
      <c r="G18" s="324"/>
      <c r="H18" s="324"/>
      <c r="I18" s="337"/>
      <c r="J18" s="351" t="str">
        <f ca="1">IF(AND('Mapa final'!$J$45="Alta",'Mapa final'!$N$45="Leve"),CONCATENATE("R",'Mapa final'!$A$45),"")</f>
        <v/>
      </c>
      <c r="K18" s="352"/>
      <c r="L18" s="352" t="str">
        <f ca="1">IF(AND('Mapa final'!$J$51="Alta",'Mapa final'!$N$51="Leve"),CONCATENATE("R",'Mapa final'!$A$51),"")</f>
        <v/>
      </c>
      <c r="M18" s="352"/>
      <c r="N18" s="352" t="str">
        <f ca="1">IF(AND('Mapa final'!$J$57="Alta",'Mapa final'!$N$57="Leve"),CONCATENATE("R",'Mapa final'!$A$57),"")</f>
        <v/>
      </c>
      <c r="O18" s="353"/>
      <c r="P18" s="351" t="str">
        <f ca="1">IF(AND('Mapa final'!$J$45="Alta",'Mapa final'!$N$45="Menor"),CONCATENATE("R",'Mapa final'!$A$45),"")</f>
        <v/>
      </c>
      <c r="Q18" s="352"/>
      <c r="R18" s="352" t="str">
        <f ca="1">IF(AND('Mapa final'!$J$51="Alta",'Mapa final'!$N$51="Menor"),CONCATENATE("R",'Mapa final'!$A$51),"")</f>
        <v/>
      </c>
      <c r="S18" s="352"/>
      <c r="T18" s="352" t="str">
        <f ca="1">IF(AND('Mapa final'!$J$57="Alta",'Mapa final'!$N$57="Menor"),CONCATENATE("R",'Mapa final'!$A$57),"")</f>
        <v/>
      </c>
      <c r="U18" s="353"/>
      <c r="V18" s="334" t="str">
        <f ca="1">IF(AND('Mapa final'!$J$45="Alta",'Mapa final'!$N$45="Moderado"),CONCATENATE("R",'Mapa final'!$A$45),"")</f>
        <v/>
      </c>
      <c r="W18" s="331"/>
      <c r="X18" s="329" t="str">
        <f ca="1">IF(AND('Mapa final'!$J$51="Alta",'Mapa final'!$N$51="Moderado"),CONCATENATE("R",'Mapa final'!$A$51),"")</f>
        <v/>
      </c>
      <c r="Y18" s="329"/>
      <c r="Z18" s="329" t="str">
        <f ca="1">IF(AND('Mapa final'!$J$57="Alta",'Mapa final'!$N$57="Moderado"),CONCATENATE("R",'Mapa final'!$A$57),"")</f>
        <v/>
      </c>
      <c r="AA18" s="330"/>
      <c r="AB18" s="334" t="str">
        <f ca="1">IF(AND('Mapa final'!$J$45="Alta",'Mapa final'!$N$45="Mayor"),CONCATENATE("R",'Mapa final'!$A$45),"")</f>
        <v/>
      </c>
      <c r="AC18" s="331"/>
      <c r="AD18" s="329" t="str">
        <f ca="1">IF(AND('Mapa final'!$J$51="Alta",'Mapa final'!$N$51="Mayor"),CONCATENATE("R",'Mapa final'!$A$51),"")</f>
        <v/>
      </c>
      <c r="AE18" s="329"/>
      <c r="AF18" s="329" t="str">
        <f ca="1">IF(AND('Mapa final'!$J$57="Alta",'Mapa final'!$N$57="Mayor"),CONCATENATE("R",'Mapa final'!$A$57),"")</f>
        <v/>
      </c>
      <c r="AG18" s="330"/>
      <c r="AH18" s="342" t="str">
        <f ca="1">IF(AND('Mapa final'!$J$45="Alta",'Mapa final'!$N$45="Catastrófico"),CONCATENATE("R",'Mapa final'!$A$45),"")</f>
        <v/>
      </c>
      <c r="AI18" s="343"/>
      <c r="AJ18" s="343" t="str">
        <f ca="1">IF(AND('Mapa final'!$J$51="Alta",'Mapa final'!$N$51="Catastrófico"),CONCATENATE("R",'Mapa final'!$A$51),"")</f>
        <v/>
      </c>
      <c r="AK18" s="343"/>
      <c r="AL18" s="343" t="str">
        <f ca="1">IF(AND('Mapa final'!$J$57="Alta",'Mapa final'!$N$57="Catastrófico"),CONCATENATE("R",'Mapa final'!$A$57),"")</f>
        <v/>
      </c>
      <c r="AM18" s="344"/>
      <c r="AN18" s="84"/>
      <c r="AO18" s="296"/>
      <c r="AP18" s="297"/>
      <c r="AQ18" s="297"/>
      <c r="AR18" s="297"/>
      <c r="AS18" s="297"/>
      <c r="AT18" s="29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82"/>
      <c r="C19" s="282"/>
      <c r="D19" s="283"/>
      <c r="E19" s="323"/>
      <c r="F19" s="324"/>
      <c r="G19" s="324"/>
      <c r="H19" s="324"/>
      <c r="I19" s="337"/>
      <c r="J19" s="351"/>
      <c r="K19" s="352"/>
      <c r="L19" s="352"/>
      <c r="M19" s="352"/>
      <c r="N19" s="352"/>
      <c r="O19" s="353"/>
      <c r="P19" s="351"/>
      <c r="Q19" s="352"/>
      <c r="R19" s="352"/>
      <c r="S19" s="352"/>
      <c r="T19" s="352"/>
      <c r="U19" s="353"/>
      <c r="V19" s="334"/>
      <c r="W19" s="331"/>
      <c r="X19" s="329"/>
      <c r="Y19" s="329"/>
      <c r="Z19" s="329"/>
      <c r="AA19" s="330"/>
      <c r="AB19" s="334"/>
      <c r="AC19" s="331"/>
      <c r="AD19" s="329"/>
      <c r="AE19" s="329"/>
      <c r="AF19" s="329"/>
      <c r="AG19" s="330"/>
      <c r="AH19" s="342"/>
      <c r="AI19" s="343"/>
      <c r="AJ19" s="343"/>
      <c r="AK19" s="343"/>
      <c r="AL19" s="343"/>
      <c r="AM19" s="344"/>
      <c r="AN19" s="84"/>
      <c r="AO19" s="296"/>
      <c r="AP19" s="297"/>
      <c r="AQ19" s="297"/>
      <c r="AR19" s="297"/>
      <c r="AS19" s="297"/>
      <c r="AT19" s="29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82"/>
      <c r="C20" s="282"/>
      <c r="D20" s="283"/>
      <c r="E20" s="323"/>
      <c r="F20" s="324"/>
      <c r="G20" s="324"/>
      <c r="H20" s="324"/>
      <c r="I20" s="337"/>
      <c r="J20" s="351" t="str">
        <f ca="1">IF(AND('Mapa final'!$J$63="Alta",'Mapa final'!$N$63="Leve"),CONCATENATE("R",'Mapa final'!$A$63),"")</f>
        <v/>
      </c>
      <c r="K20" s="352"/>
      <c r="L20" s="352" t="str">
        <f>IF(AND('Mapa final'!$J$69="Alta",'Mapa final'!$N$69="Leve"),CONCATENATE("R",'Mapa final'!$A$69),"")</f>
        <v/>
      </c>
      <c r="M20" s="352"/>
      <c r="N20" s="352" t="str">
        <f>IF(AND('Mapa final'!$J$75="Alta",'Mapa final'!$N$75="Leve"),CONCATENATE("R",'Mapa final'!$A$75),"")</f>
        <v/>
      </c>
      <c r="O20" s="353"/>
      <c r="P20" s="351" t="str">
        <f ca="1">IF(AND('Mapa final'!$J$63="Alta",'Mapa final'!$N$63="Menor"),CONCATENATE("R",'Mapa final'!$A$63),"")</f>
        <v/>
      </c>
      <c r="Q20" s="352"/>
      <c r="R20" s="352" t="str">
        <f>IF(AND('Mapa final'!$J$69="Alta",'Mapa final'!$N$69="Menor"),CONCATENATE("R",'Mapa final'!$A$69),"")</f>
        <v/>
      </c>
      <c r="S20" s="352"/>
      <c r="T20" s="352" t="str">
        <f>IF(AND('Mapa final'!$J$75="Alta",'Mapa final'!$N$75="Menor"),CONCATENATE("R",'Mapa final'!$A$75),"")</f>
        <v/>
      </c>
      <c r="U20" s="353"/>
      <c r="V20" s="334" t="str">
        <f ca="1">IF(AND('Mapa final'!$J$63="Alta",'Mapa final'!$N$63="Moderado"),CONCATENATE("R",'Mapa final'!$A$63),"")</f>
        <v/>
      </c>
      <c r="W20" s="331"/>
      <c r="X20" s="329" t="str">
        <f>IF(AND('Mapa final'!$J$69="Alta",'Mapa final'!$N$69="Moderado"),CONCATENATE("R",'Mapa final'!$A$69),"")</f>
        <v/>
      </c>
      <c r="Y20" s="329"/>
      <c r="Z20" s="329" t="str">
        <f>IF(AND('Mapa final'!$J$75="Alta",'Mapa final'!$N$75="Moderado"),CONCATENATE("R",'Mapa final'!$A$75),"")</f>
        <v/>
      </c>
      <c r="AA20" s="330"/>
      <c r="AB20" s="334" t="str">
        <f ca="1">IF(AND('Mapa final'!$J$63="Alta",'Mapa final'!$N$63="Mayor"),CONCATENATE("R",'Mapa final'!$A$63),"")</f>
        <v/>
      </c>
      <c r="AC20" s="331"/>
      <c r="AD20" s="329" t="str">
        <f>IF(AND('Mapa final'!$J$69="Alta",'Mapa final'!$N$69="Mayor"),CONCATENATE("R",'Mapa final'!$A$69),"")</f>
        <v/>
      </c>
      <c r="AE20" s="329"/>
      <c r="AF20" s="329" t="str">
        <f>IF(AND('Mapa final'!$J$75="Alta",'Mapa final'!$N$75="Mayor"),CONCATENATE("R",'Mapa final'!$A$75),"")</f>
        <v/>
      </c>
      <c r="AG20" s="330"/>
      <c r="AH20" s="342" t="str">
        <f ca="1">IF(AND('Mapa final'!$J$63="Alta",'Mapa final'!$N$63="Catastrófico"),CONCATENATE("R",'Mapa final'!$A$63),"")</f>
        <v/>
      </c>
      <c r="AI20" s="343"/>
      <c r="AJ20" s="343" t="str">
        <f>IF(AND('Mapa final'!$J$69="Alta",'Mapa final'!$N$69="Catastrófico"),CONCATENATE("R",'Mapa final'!$A$69),"")</f>
        <v/>
      </c>
      <c r="AK20" s="343"/>
      <c r="AL20" s="343" t="str">
        <f>IF(AND('Mapa final'!$J$75="Alta",'Mapa final'!$N$75="Catastrófico"),CONCATENATE("R",'Mapa final'!$A$75),"")</f>
        <v/>
      </c>
      <c r="AM20" s="344"/>
      <c r="AN20" s="84"/>
      <c r="AO20" s="296"/>
      <c r="AP20" s="297"/>
      <c r="AQ20" s="297"/>
      <c r="AR20" s="297"/>
      <c r="AS20" s="297"/>
      <c r="AT20" s="29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82"/>
      <c r="C21" s="282"/>
      <c r="D21" s="283"/>
      <c r="E21" s="326"/>
      <c r="F21" s="327"/>
      <c r="G21" s="327"/>
      <c r="H21" s="327"/>
      <c r="I21" s="327"/>
      <c r="J21" s="354"/>
      <c r="K21" s="355"/>
      <c r="L21" s="355"/>
      <c r="M21" s="355"/>
      <c r="N21" s="355"/>
      <c r="O21" s="356"/>
      <c r="P21" s="354"/>
      <c r="Q21" s="355"/>
      <c r="R21" s="355"/>
      <c r="S21" s="355"/>
      <c r="T21" s="355"/>
      <c r="U21" s="356"/>
      <c r="V21" s="339"/>
      <c r="W21" s="340"/>
      <c r="X21" s="340"/>
      <c r="Y21" s="340"/>
      <c r="Z21" s="340"/>
      <c r="AA21" s="341"/>
      <c r="AB21" s="339"/>
      <c r="AC21" s="340"/>
      <c r="AD21" s="340"/>
      <c r="AE21" s="340"/>
      <c r="AF21" s="340"/>
      <c r="AG21" s="341"/>
      <c r="AH21" s="345"/>
      <c r="AI21" s="346"/>
      <c r="AJ21" s="346"/>
      <c r="AK21" s="346"/>
      <c r="AL21" s="346"/>
      <c r="AM21" s="347"/>
      <c r="AN21" s="84"/>
      <c r="AO21" s="299"/>
      <c r="AP21" s="300"/>
      <c r="AQ21" s="300"/>
      <c r="AR21" s="300"/>
      <c r="AS21" s="300"/>
      <c r="AT21" s="30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82"/>
      <c r="C22" s="282"/>
      <c r="D22" s="283"/>
      <c r="E22" s="320" t="s">
        <v>109</v>
      </c>
      <c r="F22" s="321"/>
      <c r="G22" s="321"/>
      <c r="H22" s="321"/>
      <c r="I22" s="322"/>
      <c r="J22" s="357" t="str">
        <f ca="1">IF(AND('Mapa final'!$J$11="Media",'Mapa final'!$N$11="Leve"),CONCATENATE("R",'Mapa final'!$A$11),"")</f>
        <v/>
      </c>
      <c r="K22" s="358"/>
      <c r="L22" s="358" t="str">
        <f ca="1">IF(AND('Mapa final'!$J$15="Media",'Mapa final'!$N$15="Leve"),CONCATENATE("R",'Mapa final'!$A$15),"")</f>
        <v/>
      </c>
      <c r="M22" s="358"/>
      <c r="N22" s="358" t="str">
        <f ca="1">IF(AND('Mapa final'!$J$21="Media",'Mapa final'!$N$21="Leve"),CONCATENATE("R",'Mapa final'!$A$21),"")</f>
        <v/>
      </c>
      <c r="O22" s="359"/>
      <c r="P22" s="357" t="str">
        <f ca="1">IF(AND('Mapa final'!$J$11="Media",'Mapa final'!$N$11="Menor"),CONCATENATE("R",'Mapa final'!$A$11),"")</f>
        <v/>
      </c>
      <c r="Q22" s="358"/>
      <c r="R22" s="358" t="str">
        <f ca="1">IF(AND('Mapa final'!$J$15="Media",'Mapa final'!$N$15="Menor"),CONCATENATE("R",'Mapa final'!$A$15),"")</f>
        <v/>
      </c>
      <c r="S22" s="358"/>
      <c r="T22" s="358" t="str">
        <f ca="1">IF(AND('Mapa final'!$J$21="Media",'Mapa final'!$N$21="Menor"),CONCATENATE("R",'Mapa final'!$A$21),"")</f>
        <v/>
      </c>
      <c r="U22" s="359"/>
      <c r="V22" s="357" t="str">
        <f ca="1">IF(AND('Mapa final'!$J$11="Media",'Mapa final'!$N$11="Moderado"),CONCATENATE("R",'Mapa final'!$A$11),"")</f>
        <v>R1</v>
      </c>
      <c r="W22" s="358"/>
      <c r="X22" s="358" t="str">
        <f ca="1">IF(AND('Mapa final'!$J$15="Media",'Mapa final'!$N$15="Moderado"),CONCATENATE("R",'Mapa final'!$A$15),"")</f>
        <v/>
      </c>
      <c r="Y22" s="358"/>
      <c r="Z22" s="358" t="str">
        <f ca="1">IF(AND('Mapa final'!$J$21="Media",'Mapa final'!$N$21="Moderado"),CONCATENATE("R",'Mapa final'!$A$21),"")</f>
        <v/>
      </c>
      <c r="AA22" s="359"/>
      <c r="AB22" s="332" t="str">
        <f ca="1">IF(AND('Mapa final'!$J$11="Media",'Mapa final'!$N$11="Mayor"),CONCATENATE("R",'Mapa final'!$A$11),"")</f>
        <v/>
      </c>
      <c r="AC22" s="333"/>
      <c r="AD22" s="333" t="str">
        <f ca="1">IF(AND('Mapa final'!$J$15="Media",'Mapa final'!$N$15="Mayor"),CONCATENATE("R",'Mapa final'!$A$15),"")</f>
        <v/>
      </c>
      <c r="AE22" s="333"/>
      <c r="AF22" s="333" t="str">
        <f ca="1">IF(AND('Mapa final'!$J$21="Media",'Mapa final'!$N$21="Mayor"),CONCATENATE("R",'Mapa final'!$A$21),"")</f>
        <v/>
      </c>
      <c r="AG22" s="335"/>
      <c r="AH22" s="348" t="str">
        <f ca="1">IF(AND('Mapa final'!$J$11="Media",'Mapa final'!$N$11="Catastrófico"),CONCATENATE("R",'Mapa final'!$A$11),"")</f>
        <v/>
      </c>
      <c r="AI22" s="349"/>
      <c r="AJ22" s="349" t="str">
        <f ca="1">IF(AND('Mapa final'!$J$15="Media",'Mapa final'!$N$15="Catastrófico"),CONCATENATE("R",'Mapa final'!$A$15),"")</f>
        <v/>
      </c>
      <c r="AK22" s="349"/>
      <c r="AL22" s="349" t="str">
        <f ca="1">IF(AND('Mapa final'!$J$21="Media",'Mapa final'!$N$21="Catastrófico"),CONCATENATE("R",'Mapa final'!$A$21),"")</f>
        <v/>
      </c>
      <c r="AM22" s="350"/>
      <c r="AN22" s="84"/>
      <c r="AO22" s="302" t="s">
        <v>78</v>
      </c>
      <c r="AP22" s="303"/>
      <c r="AQ22" s="303"/>
      <c r="AR22" s="303"/>
      <c r="AS22" s="303"/>
      <c r="AT22" s="30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82"/>
      <c r="C23" s="282"/>
      <c r="D23" s="283"/>
      <c r="E23" s="323"/>
      <c r="F23" s="324"/>
      <c r="G23" s="324"/>
      <c r="H23" s="324"/>
      <c r="I23" s="325"/>
      <c r="J23" s="351"/>
      <c r="K23" s="352"/>
      <c r="L23" s="352"/>
      <c r="M23" s="352"/>
      <c r="N23" s="352"/>
      <c r="O23" s="353"/>
      <c r="P23" s="351"/>
      <c r="Q23" s="352"/>
      <c r="R23" s="352"/>
      <c r="S23" s="352"/>
      <c r="T23" s="352"/>
      <c r="U23" s="353"/>
      <c r="V23" s="351"/>
      <c r="W23" s="352"/>
      <c r="X23" s="352"/>
      <c r="Y23" s="352"/>
      <c r="Z23" s="352"/>
      <c r="AA23" s="353"/>
      <c r="AB23" s="334"/>
      <c r="AC23" s="331"/>
      <c r="AD23" s="331"/>
      <c r="AE23" s="331"/>
      <c r="AF23" s="331"/>
      <c r="AG23" s="330"/>
      <c r="AH23" s="342"/>
      <c r="AI23" s="343"/>
      <c r="AJ23" s="343"/>
      <c r="AK23" s="343"/>
      <c r="AL23" s="343"/>
      <c r="AM23" s="344"/>
      <c r="AN23" s="84"/>
      <c r="AO23" s="305"/>
      <c r="AP23" s="306"/>
      <c r="AQ23" s="306"/>
      <c r="AR23" s="306"/>
      <c r="AS23" s="306"/>
      <c r="AT23" s="307"/>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82"/>
      <c r="C24" s="282"/>
      <c r="D24" s="283"/>
      <c r="E24" s="323"/>
      <c r="F24" s="324"/>
      <c r="G24" s="324"/>
      <c r="H24" s="324"/>
      <c r="I24" s="325"/>
      <c r="J24" s="351" t="str">
        <f ca="1">IF(AND('Mapa final'!$J$27="Media",'Mapa final'!$N$27="Leve"),CONCATENATE("R",'Mapa final'!$A$27),"")</f>
        <v/>
      </c>
      <c r="K24" s="352"/>
      <c r="L24" s="352" t="str">
        <f ca="1">IF(AND('Mapa final'!$J$33="Media",'Mapa final'!$N$33="Leve"),CONCATENATE("R",'Mapa final'!$A$33),"")</f>
        <v/>
      </c>
      <c r="M24" s="352"/>
      <c r="N24" s="352" t="str">
        <f ca="1">IF(AND('Mapa final'!$J$39="Media",'Mapa final'!$N$39="Leve"),CONCATENATE("R",'Mapa final'!$A$39),"")</f>
        <v/>
      </c>
      <c r="O24" s="353"/>
      <c r="P24" s="351" t="str">
        <f ca="1">IF(AND('Mapa final'!$J$27="Media",'Mapa final'!$N$27="Menor"),CONCATENATE("R",'Mapa final'!$A$27),"")</f>
        <v/>
      </c>
      <c r="Q24" s="352"/>
      <c r="R24" s="352" t="str">
        <f ca="1">IF(AND('Mapa final'!$J$33="Media",'Mapa final'!$N$33="Menor"),CONCATENATE("R",'Mapa final'!$A$33),"")</f>
        <v/>
      </c>
      <c r="S24" s="352"/>
      <c r="T24" s="352" t="str">
        <f ca="1">IF(AND('Mapa final'!$J$39="Media",'Mapa final'!$N$39="Menor"),CONCATENATE("R",'Mapa final'!$A$39),"")</f>
        <v/>
      </c>
      <c r="U24" s="353"/>
      <c r="V24" s="351" t="str">
        <f ca="1">IF(AND('Mapa final'!$J$27="Media",'Mapa final'!$N$27="Moderado"),CONCATENATE("R",'Mapa final'!$A$27),"")</f>
        <v/>
      </c>
      <c r="W24" s="352"/>
      <c r="X24" s="352" t="str">
        <f ca="1">IF(AND('Mapa final'!$J$33="Media",'Mapa final'!$N$33="Moderado"),CONCATENATE("R",'Mapa final'!$A$33),"")</f>
        <v/>
      </c>
      <c r="Y24" s="352"/>
      <c r="Z24" s="352" t="str">
        <f ca="1">IF(AND('Mapa final'!$J$39="Media",'Mapa final'!$N$39="Moderado"),CONCATENATE("R",'Mapa final'!$A$39),"")</f>
        <v/>
      </c>
      <c r="AA24" s="353"/>
      <c r="AB24" s="334" t="str">
        <f ca="1">IF(AND('Mapa final'!$J$27="Media",'Mapa final'!$N$27="Mayor"),CONCATENATE("R",'Mapa final'!$A$27),"")</f>
        <v/>
      </c>
      <c r="AC24" s="331"/>
      <c r="AD24" s="329" t="str">
        <f ca="1">IF(AND('Mapa final'!$J$33="Media",'Mapa final'!$N$33="Mayor"),CONCATENATE("R",'Mapa final'!$A$33),"")</f>
        <v/>
      </c>
      <c r="AE24" s="329"/>
      <c r="AF24" s="329" t="str">
        <f ca="1">IF(AND('Mapa final'!$J$39="Media",'Mapa final'!$N$39="Mayor"),CONCATENATE("R",'Mapa final'!$A$39),"")</f>
        <v/>
      </c>
      <c r="AG24" s="330"/>
      <c r="AH24" s="342" t="str">
        <f ca="1">IF(AND('Mapa final'!$J$27="Media",'Mapa final'!$N$27="Catastrófico"),CONCATENATE("R",'Mapa final'!$A$27),"")</f>
        <v/>
      </c>
      <c r="AI24" s="343"/>
      <c r="AJ24" s="343" t="str">
        <f ca="1">IF(AND('Mapa final'!$J$33="Media",'Mapa final'!$N$33="Catastrófico"),CONCATENATE("R",'Mapa final'!$A$33),"")</f>
        <v/>
      </c>
      <c r="AK24" s="343"/>
      <c r="AL24" s="343" t="str">
        <f ca="1">IF(AND('Mapa final'!$J$39="Media",'Mapa final'!$N$39="Catastrófico"),CONCATENATE("R",'Mapa final'!$A$39),"")</f>
        <v/>
      </c>
      <c r="AM24" s="344"/>
      <c r="AN24" s="84"/>
      <c r="AO24" s="305"/>
      <c r="AP24" s="306"/>
      <c r="AQ24" s="306"/>
      <c r="AR24" s="306"/>
      <c r="AS24" s="306"/>
      <c r="AT24" s="307"/>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82"/>
      <c r="C25" s="282"/>
      <c r="D25" s="283"/>
      <c r="E25" s="323"/>
      <c r="F25" s="324"/>
      <c r="G25" s="324"/>
      <c r="H25" s="324"/>
      <c r="I25" s="325"/>
      <c r="J25" s="351"/>
      <c r="K25" s="352"/>
      <c r="L25" s="352"/>
      <c r="M25" s="352"/>
      <c r="N25" s="352"/>
      <c r="O25" s="353"/>
      <c r="P25" s="351"/>
      <c r="Q25" s="352"/>
      <c r="R25" s="352"/>
      <c r="S25" s="352"/>
      <c r="T25" s="352"/>
      <c r="U25" s="353"/>
      <c r="V25" s="351"/>
      <c r="W25" s="352"/>
      <c r="X25" s="352"/>
      <c r="Y25" s="352"/>
      <c r="Z25" s="352"/>
      <c r="AA25" s="353"/>
      <c r="AB25" s="334"/>
      <c r="AC25" s="331"/>
      <c r="AD25" s="329"/>
      <c r="AE25" s="329"/>
      <c r="AF25" s="329"/>
      <c r="AG25" s="330"/>
      <c r="AH25" s="342"/>
      <c r="AI25" s="343"/>
      <c r="AJ25" s="343"/>
      <c r="AK25" s="343"/>
      <c r="AL25" s="343"/>
      <c r="AM25" s="344"/>
      <c r="AN25" s="84"/>
      <c r="AO25" s="305"/>
      <c r="AP25" s="306"/>
      <c r="AQ25" s="306"/>
      <c r="AR25" s="306"/>
      <c r="AS25" s="306"/>
      <c r="AT25" s="307"/>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82"/>
      <c r="C26" s="282"/>
      <c r="D26" s="283"/>
      <c r="E26" s="323"/>
      <c r="F26" s="324"/>
      <c r="G26" s="324"/>
      <c r="H26" s="324"/>
      <c r="I26" s="325"/>
      <c r="J26" s="351" t="str">
        <f ca="1">IF(AND('Mapa final'!$J$45="Media",'Mapa final'!$N$45="Leve"),CONCATENATE("R",'Mapa final'!$A$45),"")</f>
        <v/>
      </c>
      <c r="K26" s="352"/>
      <c r="L26" s="352" t="str">
        <f ca="1">IF(AND('Mapa final'!$J$51="Media",'Mapa final'!$N$51="Leve"),CONCATENATE("R",'Mapa final'!$A$51),"")</f>
        <v/>
      </c>
      <c r="M26" s="352"/>
      <c r="N26" s="352" t="str">
        <f ca="1">IF(AND('Mapa final'!$J$57="Media",'Mapa final'!$N$57="Leve"),CONCATENATE("R",'Mapa final'!$A$57),"")</f>
        <v/>
      </c>
      <c r="O26" s="353"/>
      <c r="P26" s="351" t="str">
        <f ca="1">IF(AND('Mapa final'!$J$45="Media",'Mapa final'!$N$45="Menor"),CONCATENATE("R",'Mapa final'!$A$45),"")</f>
        <v/>
      </c>
      <c r="Q26" s="352"/>
      <c r="R26" s="352" t="str">
        <f ca="1">IF(AND('Mapa final'!$J$51="Media",'Mapa final'!$N$51="Menor"),CONCATENATE("R",'Mapa final'!$A$51),"")</f>
        <v/>
      </c>
      <c r="S26" s="352"/>
      <c r="T26" s="352" t="str">
        <f ca="1">IF(AND('Mapa final'!$J$57="Media",'Mapa final'!$N$57="Menor"),CONCATENATE("R",'Mapa final'!$A$57),"")</f>
        <v/>
      </c>
      <c r="U26" s="353"/>
      <c r="V26" s="351" t="str">
        <f ca="1">IF(AND('Mapa final'!$J$45="Media",'Mapa final'!$N$45="Moderado"),CONCATENATE("R",'Mapa final'!$A$45),"")</f>
        <v/>
      </c>
      <c r="W26" s="352"/>
      <c r="X26" s="352" t="str">
        <f ca="1">IF(AND('Mapa final'!$J$51="Media",'Mapa final'!$N$51="Moderado"),CONCATENATE("R",'Mapa final'!$A$51),"")</f>
        <v/>
      </c>
      <c r="Y26" s="352"/>
      <c r="Z26" s="352" t="str">
        <f ca="1">IF(AND('Mapa final'!$J$57="Media",'Mapa final'!$N$57="Moderado"),CONCATENATE("R",'Mapa final'!$A$57),"")</f>
        <v/>
      </c>
      <c r="AA26" s="353"/>
      <c r="AB26" s="334" t="str">
        <f ca="1">IF(AND('Mapa final'!$J$45="Media",'Mapa final'!$N$45="Mayor"),CONCATENATE("R",'Mapa final'!$A$45),"")</f>
        <v/>
      </c>
      <c r="AC26" s="331"/>
      <c r="AD26" s="329" t="str">
        <f ca="1">IF(AND('Mapa final'!$J$51="Media",'Mapa final'!$N$51="Mayor"),CONCATENATE("R",'Mapa final'!$A$51),"")</f>
        <v/>
      </c>
      <c r="AE26" s="329"/>
      <c r="AF26" s="329" t="str">
        <f ca="1">IF(AND('Mapa final'!$J$57="Media",'Mapa final'!$N$57="Mayor"),CONCATENATE("R",'Mapa final'!$A$57),"")</f>
        <v/>
      </c>
      <c r="AG26" s="330"/>
      <c r="AH26" s="342" t="str">
        <f ca="1">IF(AND('Mapa final'!$J$45="Media",'Mapa final'!$N$45="Catastrófico"),CONCATENATE("R",'Mapa final'!$A$45),"")</f>
        <v/>
      </c>
      <c r="AI26" s="343"/>
      <c r="AJ26" s="343" t="str">
        <f ca="1">IF(AND('Mapa final'!$J$51="Media",'Mapa final'!$N$51="Catastrófico"),CONCATENATE("R",'Mapa final'!$A$51),"")</f>
        <v/>
      </c>
      <c r="AK26" s="343"/>
      <c r="AL26" s="343" t="str">
        <f ca="1">IF(AND('Mapa final'!$J$57="Media",'Mapa final'!$N$57="Catastrófico"),CONCATENATE("R",'Mapa final'!$A$57),"")</f>
        <v/>
      </c>
      <c r="AM26" s="344"/>
      <c r="AN26" s="84"/>
      <c r="AO26" s="305"/>
      <c r="AP26" s="306"/>
      <c r="AQ26" s="306"/>
      <c r="AR26" s="306"/>
      <c r="AS26" s="306"/>
      <c r="AT26" s="307"/>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82"/>
      <c r="C27" s="282"/>
      <c r="D27" s="283"/>
      <c r="E27" s="323"/>
      <c r="F27" s="324"/>
      <c r="G27" s="324"/>
      <c r="H27" s="324"/>
      <c r="I27" s="325"/>
      <c r="J27" s="351"/>
      <c r="K27" s="352"/>
      <c r="L27" s="352"/>
      <c r="M27" s="352"/>
      <c r="N27" s="352"/>
      <c r="O27" s="353"/>
      <c r="P27" s="351"/>
      <c r="Q27" s="352"/>
      <c r="R27" s="352"/>
      <c r="S27" s="352"/>
      <c r="T27" s="352"/>
      <c r="U27" s="353"/>
      <c r="V27" s="351"/>
      <c r="W27" s="352"/>
      <c r="X27" s="352"/>
      <c r="Y27" s="352"/>
      <c r="Z27" s="352"/>
      <c r="AA27" s="353"/>
      <c r="AB27" s="334"/>
      <c r="AC27" s="331"/>
      <c r="AD27" s="329"/>
      <c r="AE27" s="329"/>
      <c r="AF27" s="329"/>
      <c r="AG27" s="330"/>
      <c r="AH27" s="342"/>
      <c r="AI27" s="343"/>
      <c r="AJ27" s="343"/>
      <c r="AK27" s="343"/>
      <c r="AL27" s="343"/>
      <c r="AM27" s="344"/>
      <c r="AN27" s="84"/>
      <c r="AO27" s="305"/>
      <c r="AP27" s="306"/>
      <c r="AQ27" s="306"/>
      <c r="AR27" s="306"/>
      <c r="AS27" s="306"/>
      <c r="AT27" s="307"/>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82"/>
      <c r="C28" s="282"/>
      <c r="D28" s="283"/>
      <c r="E28" s="323"/>
      <c r="F28" s="324"/>
      <c r="G28" s="324"/>
      <c r="H28" s="324"/>
      <c r="I28" s="325"/>
      <c r="J28" s="351" t="str">
        <f ca="1">IF(AND('Mapa final'!$J$63="Media",'Mapa final'!$N$63="Leve"),CONCATENATE("R",'Mapa final'!$A$63),"")</f>
        <v/>
      </c>
      <c r="K28" s="352"/>
      <c r="L28" s="352" t="str">
        <f>IF(AND('Mapa final'!$J$69="Media",'Mapa final'!$N$69="Leve"),CONCATENATE("R",'Mapa final'!$A$69),"")</f>
        <v/>
      </c>
      <c r="M28" s="352"/>
      <c r="N28" s="352" t="str">
        <f>IF(AND('Mapa final'!$J$75="Media",'Mapa final'!$N$75="Leve"),CONCATENATE("R",'Mapa final'!$A$75),"")</f>
        <v/>
      </c>
      <c r="O28" s="353"/>
      <c r="P28" s="351" t="str">
        <f ca="1">IF(AND('Mapa final'!$J$63="Media",'Mapa final'!$N$63="Menor"),CONCATENATE("R",'Mapa final'!$A$63),"")</f>
        <v/>
      </c>
      <c r="Q28" s="352"/>
      <c r="R28" s="352" t="str">
        <f>IF(AND('Mapa final'!$J$69="Media",'Mapa final'!$N$69="Menor"),CONCATENATE("R",'Mapa final'!$A$69),"")</f>
        <v/>
      </c>
      <c r="S28" s="352"/>
      <c r="T28" s="352" t="str">
        <f>IF(AND('Mapa final'!$J$75="Media",'Mapa final'!$N$75="Menor"),CONCATENATE("R",'Mapa final'!$A$75),"")</f>
        <v/>
      </c>
      <c r="U28" s="353"/>
      <c r="V28" s="351" t="str">
        <f ca="1">IF(AND('Mapa final'!$J$63="Media",'Mapa final'!$N$63="Moderado"),CONCATENATE("R",'Mapa final'!$A$63),"")</f>
        <v/>
      </c>
      <c r="W28" s="352"/>
      <c r="X28" s="352" t="str">
        <f>IF(AND('Mapa final'!$J$69="Media",'Mapa final'!$N$69="Moderado"),CONCATENATE("R",'Mapa final'!$A$69),"")</f>
        <v/>
      </c>
      <c r="Y28" s="352"/>
      <c r="Z28" s="352" t="str">
        <f>IF(AND('Mapa final'!$J$75="Media",'Mapa final'!$N$75="Moderado"),CONCATENATE("R",'Mapa final'!$A$75),"")</f>
        <v/>
      </c>
      <c r="AA28" s="353"/>
      <c r="AB28" s="334" t="str">
        <f ca="1">IF(AND('Mapa final'!$J$63="Media",'Mapa final'!$N$63="Mayor"),CONCATENATE("R",'Mapa final'!$A$63),"")</f>
        <v/>
      </c>
      <c r="AC28" s="331"/>
      <c r="AD28" s="329" t="str">
        <f>IF(AND('Mapa final'!$J$69="Media",'Mapa final'!$N$69="Mayor"),CONCATENATE("R",'Mapa final'!$A$69),"")</f>
        <v/>
      </c>
      <c r="AE28" s="329"/>
      <c r="AF28" s="329" t="str">
        <f>IF(AND('Mapa final'!$J$75="Media",'Mapa final'!$N$75="Mayor"),CONCATENATE("R",'Mapa final'!$A$75),"")</f>
        <v/>
      </c>
      <c r="AG28" s="330"/>
      <c r="AH28" s="342" t="str">
        <f ca="1">IF(AND('Mapa final'!$J$63="Media",'Mapa final'!$N$63="Catastrófico"),CONCATENATE("R",'Mapa final'!$A$63),"")</f>
        <v/>
      </c>
      <c r="AI28" s="343"/>
      <c r="AJ28" s="343" t="str">
        <f>IF(AND('Mapa final'!$J$69="Media",'Mapa final'!$N$69="Catastrófico"),CONCATENATE("R",'Mapa final'!$A$69),"")</f>
        <v/>
      </c>
      <c r="AK28" s="343"/>
      <c r="AL28" s="343" t="str">
        <f>IF(AND('Mapa final'!$J$75="Media",'Mapa final'!$N$75="Catastrófico"),CONCATENATE("R",'Mapa final'!$A$75),"")</f>
        <v/>
      </c>
      <c r="AM28" s="344"/>
      <c r="AN28" s="84"/>
      <c r="AO28" s="305"/>
      <c r="AP28" s="306"/>
      <c r="AQ28" s="306"/>
      <c r="AR28" s="306"/>
      <c r="AS28" s="306"/>
      <c r="AT28" s="307"/>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82"/>
      <c r="C29" s="282"/>
      <c r="D29" s="283"/>
      <c r="E29" s="326"/>
      <c r="F29" s="327"/>
      <c r="G29" s="327"/>
      <c r="H29" s="327"/>
      <c r="I29" s="328"/>
      <c r="J29" s="351"/>
      <c r="K29" s="352"/>
      <c r="L29" s="352"/>
      <c r="M29" s="352"/>
      <c r="N29" s="352"/>
      <c r="O29" s="353"/>
      <c r="P29" s="354"/>
      <c r="Q29" s="355"/>
      <c r="R29" s="355"/>
      <c r="S29" s="355"/>
      <c r="T29" s="355"/>
      <c r="U29" s="356"/>
      <c r="V29" s="354"/>
      <c r="W29" s="355"/>
      <c r="X29" s="355"/>
      <c r="Y29" s="355"/>
      <c r="Z29" s="355"/>
      <c r="AA29" s="356"/>
      <c r="AB29" s="339"/>
      <c r="AC29" s="340"/>
      <c r="AD29" s="340"/>
      <c r="AE29" s="340"/>
      <c r="AF29" s="340"/>
      <c r="AG29" s="341"/>
      <c r="AH29" s="345"/>
      <c r="AI29" s="346"/>
      <c r="AJ29" s="346"/>
      <c r="AK29" s="346"/>
      <c r="AL29" s="346"/>
      <c r="AM29" s="347"/>
      <c r="AN29" s="84"/>
      <c r="AO29" s="308"/>
      <c r="AP29" s="309"/>
      <c r="AQ29" s="309"/>
      <c r="AR29" s="309"/>
      <c r="AS29" s="309"/>
      <c r="AT29" s="310"/>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82"/>
      <c r="C30" s="282"/>
      <c r="D30" s="283"/>
      <c r="E30" s="320" t="s">
        <v>106</v>
      </c>
      <c r="F30" s="321"/>
      <c r="G30" s="321"/>
      <c r="H30" s="321"/>
      <c r="I30" s="321"/>
      <c r="J30" s="366" t="str">
        <f ca="1">IF(AND('Mapa final'!$J$11="Baja",'Mapa final'!$N$11="Leve"),CONCATENATE("R",'Mapa final'!$A$11),"")</f>
        <v/>
      </c>
      <c r="K30" s="367"/>
      <c r="L30" s="367" t="str">
        <f ca="1">IF(AND('Mapa final'!$J$15="Baja",'Mapa final'!$N$15="Leve"),CONCATENATE("R",'Mapa final'!$A$15),"")</f>
        <v/>
      </c>
      <c r="M30" s="367"/>
      <c r="N30" s="367" t="str">
        <f ca="1">IF(AND('Mapa final'!$J$21="Baja",'Mapa final'!$N$21="Leve"),CONCATENATE("R",'Mapa final'!$A$21),"")</f>
        <v/>
      </c>
      <c r="O30" s="368"/>
      <c r="P30" s="358" t="str">
        <f ca="1">IF(AND('Mapa final'!$J$11="Baja",'Mapa final'!$N$11="Menor"),CONCATENATE("R",'Mapa final'!$A$11),"")</f>
        <v/>
      </c>
      <c r="Q30" s="358"/>
      <c r="R30" s="358" t="str">
        <f ca="1">IF(AND('Mapa final'!$J$15="Baja",'Mapa final'!$N$15="Menor"),CONCATENATE("R",'Mapa final'!$A$15),"")</f>
        <v/>
      </c>
      <c r="S30" s="358"/>
      <c r="T30" s="358" t="str">
        <f ca="1">IF(AND('Mapa final'!$J$21="Baja",'Mapa final'!$N$21="Menor"),CONCATENATE("R",'Mapa final'!$A$21),"")</f>
        <v/>
      </c>
      <c r="U30" s="359"/>
      <c r="V30" s="357" t="str">
        <f ca="1">IF(AND('Mapa final'!$J$11="Baja",'Mapa final'!$N$11="Moderado"),CONCATENATE("R",'Mapa final'!$A$11),"")</f>
        <v/>
      </c>
      <c r="W30" s="358"/>
      <c r="X30" s="358" t="str">
        <f ca="1">IF(AND('Mapa final'!$J$15="Baja",'Mapa final'!$N$15="Moderado"),CONCATENATE("R",'Mapa final'!$A$15),"")</f>
        <v/>
      </c>
      <c r="Y30" s="358"/>
      <c r="Z30" s="358" t="str">
        <f ca="1">IF(AND('Mapa final'!$J$21="Baja",'Mapa final'!$N$21="Moderado"),CONCATENATE("R",'Mapa final'!$A$21),"")</f>
        <v/>
      </c>
      <c r="AA30" s="359"/>
      <c r="AB30" s="332" t="str">
        <f ca="1">IF(AND('Mapa final'!$J$11="Baja",'Mapa final'!$N$11="Mayor"),CONCATENATE("R",'Mapa final'!$A$11),"")</f>
        <v/>
      </c>
      <c r="AC30" s="333"/>
      <c r="AD30" s="333" t="str">
        <f ca="1">IF(AND('Mapa final'!$J$15="Baja",'Mapa final'!$N$15="Mayor"),CONCATENATE("R",'Mapa final'!$A$15),"")</f>
        <v/>
      </c>
      <c r="AE30" s="333"/>
      <c r="AF30" s="333" t="str">
        <f ca="1">IF(AND('Mapa final'!$J$21="Baja",'Mapa final'!$N$21="Mayor"),CONCATENATE("R",'Mapa final'!$A$21),"")</f>
        <v/>
      </c>
      <c r="AG30" s="335"/>
      <c r="AH30" s="348" t="str">
        <f ca="1">IF(AND('Mapa final'!$J$11="Baja",'Mapa final'!$N$11="Catastrófico"),CONCATENATE("R",'Mapa final'!$A$11),"")</f>
        <v/>
      </c>
      <c r="AI30" s="349"/>
      <c r="AJ30" s="349" t="str">
        <f ca="1">IF(AND('Mapa final'!$J$15="Baja",'Mapa final'!$N$15="Catastrófico"),CONCATENATE("R",'Mapa final'!$A$15),"")</f>
        <v/>
      </c>
      <c r="AK30" s="349"/>
      <c r="AL30" s="349" t="str">
        <f ca="1">IF(AND('Mapa final'!$J$21="Baja",'Mapa final'!$N$21="Catastrófico"),CONCATENATE("R",'Mapa final'!$A$21),"")</f>
        <v/>
      </c>
      <c r="AM30" s="350"/>
      <c r="AN30" s="84"/>
      <c r="AO30" s="311" t="s">
        <v>79</v>
      </c>
      <c r="AP30" s="312"/>
      <c r="AQ30" s="312"/>
      <c r="AR30" s="312"/>
      <c r="AS30" s="312"/>
      <c r="AT30" s="31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82"/>
      <c r="C31" s="282"/>
      <c r="D31" s="283"/>
      <c r="E31" s="323"/>
      <c r="F31" s="324"/>
      <c r="G31" s="324"/>
      <c r="H31" s="324"/>
      <c r="I31" s="337"/>
      <c r="J31" s="362"/>
      <c r="K31" s="360"/>
      <c r="L31" s="360"/>
      <c r="M31" s="360"/>
      <c r="N31" s="360"/>
      <c r="O31" s="361"/>
      <c r="P31" s="352"/>
      <c r="Q31" s="352"/>
      <c r="R31" s="352"/>
      <c r="S31" s="352"/>
      <c r="T31" s="352"/>
      <c r="U31" s="353"/>
      <c r="V31" s="351"/>
      <c r="W31" s="352"/>
      <c r="X31" s="352"/>
      <c r="Y31" s="352"/>
      <c r="Z31" s="352"/>
      <c r="AA31" s="353"/>
      <c r="AB31" s="334"/>
      <c r="AC31" s="331"/>
      <c r="AD31" s="331"/>
      <c r="AE31" s="331"/>
      <c r="AF31" s="331"/>
      <c r="AG31" s="330"/>
      <c r="AH31" s="342"/>
      <c r="AI31" s="343"/>
      <c r="AJ31" s="343"/>
      <c r="AK31" s="343"/>
      <c r="AL31" s="343"/>
      <c r="AM31" s="344"/>
      <c r="AN31" s="84"/>
      <c r="AO31" s="314"/>
      <c r="AP31" s="315"/>
      <c r="AQ31" s="315"/>
      <c r="AR31" s="315"/>
      <c r="AS31" s="315"/>
      <c r="AT31" s="31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82"/>
      <c r="C32" s="282"/>
      <c r="D32" s="283"/>
      <c r="E32" s="323"/>
      <c r="F32" s="324"/>
      <c r="G32" s="324"/>
      <c r="H32" s="324"/>
      <c r="I32" s="337"/>
      <c r="J32" s="362" t="str">
        <f ca="1">IF(AND('Mapa final'!$J$27="Baja",'Mapa final'!$N$27="Leve"),CONCATENATE("R",'Mapa final'!$A$27),"")</f>
        <v/>
      </c>
      <c r="K32" s="360"/>
      <c r="L32" s="360" t="str">
        <f ca="1">IF(AND('Mapa final'!$J$33="Baja",'Mapa final'!$N$33="Leve"),CONCATENATE("R",'Mapa final'!$A$33),"")</f>
        <v/>
      </c>
      <c r="M32" s="360"/>
      <c r="N32" s="360" t="str">
        <f ca="1">IF(AND('Mapa final'!$J$39="Baja",'Mapa final'!$N$39="Leve"),CONCATENATE("R",'Mapa final'!$A$39),"")</f>
        <v/>
      </c>
      <c r="O32" s="361"/>
      <c r="P32" s="352" t="str">
        <f ca="1">IF(AND('Mapa final'!$J$27="Baja",'Mapa final'!$N$27="Menor"),CONCATENATE("R",'Mapa final'!$A$27),"")</f>
        <v/>
      </c>
      <c r="Q32" s="352"/>
      <c r="R32" s="352" t="str">
        <f ca="1">IF(AND('Mapa final'!$J$33="Baja",'Mapa final'!$N$33="Menor"),CONCATENATE("R",'Mapa final'!$A$33),"")</f>
        <v/>
      </c>
      <c r="S32" s="352"/>
      <c r="T32" s="352" t="str">
        <f ca="1">IF(AND('Mapa final'!$J$39="Baja",'Mapa final'!$N$39="Menor"),CONCATENATE("R",'Mapa final'!$A$39),"")</f>
        <v/>
      </c>
      <c r="U32" s="353"/>
      <c r="V32" s="351" t="str">
        <f ca="1">IF(AND('Mapa final'!$J$27="Baja",'Mapa final'!$N$27="Moderado"),CONCATENATE("R",'Mapa final'!$A$27),"")</f>
        <v/>
      </c>
      <c r="W32" s="352"/>
      <c r="X32" s="352" t="str">
        <f ca="1">IF(AND('Mapa final'!$J$33="Baja",'Mapa final'!$N$33="Moderado"),CONCATENATE("R",'Mapa final'!$A$33),"")</f>
        <v/>
      </c>
      <c r="Y32" s="352"/>
      <c r="Z32" s="352" t="str">
        <f ca="1">IF(AND('Mapa final'!$J$39="Baja",'Mapa final'!$N$39="Moderado"),CONCATENATE("R",'Mapa final'!$A$39),"")</f>
        <v/>
      </c>
      <c r="AA32" s="353"/>
      <c r="AB32" s="334" t="str">
        <f ca="1">IF(AND('Mapa final'!$J$27="Baja",'Mapa final'!$N$27="Mayor"),CONCATENATE("R",'Mapa final'!$A$27),"")</f>
        <v/>
      </c>
      <c r="AC32" s="331"/>
      <c r="AD32" s="329" t="str">
        <f ca="1">IF(AND('Mapa final'!$J$33="Baja",'Mapa final'!$N$33="Mayor"),CONCATENATE("R",'Mapa final'!$A$33),"")</f>
        <v/>
      </c>
      <c r="AE32" s="329"/>
      <c r="AF32" s="329" t="str">
        <f ca="1">IF(AND('Mapa final'!$J$39="Baja",'Mapa final'!$N$39="Mayor"),CONCATENATE("R",'Mapa final'!$A$39),"")</f>
        <v/>
      </c>
      <c r="AG32" s="330"/>
      <c r="AH32" s="342" t="str">
        <f ca="1">IF(AND('Mapa final'!$J$27="Baja",'Mapa final'!$N$27="Catastrófico"),CONCATENATE("R",'Mapa final'!$A$27),"")</f>
        <v/>
      </c>
      <c r="AI32" s="343"/>
      <c r="AJ32" s="343" t="str">
        <f ca="1">IF(AND('Mapa final'!$J$33="Baja",'Mapa final'!$N$33="Catastrófico"),CONCATENATE("R",'Mapa final'!$A$33),"")</f>
        <v/>
      </c>
      <c r="AK32" s="343"/>
      <c r="AL32" s="343" t="str">
        <f ca="1">IF(AND('Mapa final'!$J$39="Baja",'Mapa final'!$N$39="Catastrófico"),CONCATENATE("R",'Mapa final'!$A$39),"")</f>
        <v/>
      </c>
      <c r="AM32" s="344"/>
      <c r="AN32" s="84"/>
      <c r="AO32" s="314"/>
      <c r="AP32" s="315"/>
      <c r="AQ32" s="315"/>
      <c r="AR32" s="315"/>
      <c r="AS32" s="315"/>
      <c r="AT32" s="31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82"/>
      <c r="C33" s="282"/>
      <c r="D33" s="283"/>
      <c r="E33" s="323"/>
      <c r="F33" s="324"/>
      <c r="G33" s="324"/>
      <c r="H33" s="324"/>
      <c r="I33" s="337"/>
      <c r="J33" s="362"/>
      <c r="K33" s="360"/>
      <c r="L33" s="360"/>
      <c r="M33" s="360"/>
      <c r="N33" s="360"/>
      <c r="O33" s="361"/>
      <c r="P33" s="352"/>
      <c r="Q33" s="352"/>
      <c r="R33" s="352"/>
      <c r="S33" s="352"/>
      <c r="T33" s="352"/>
      <c r="U33" s="353"/>
      <c r="V33" s="351"/>
      <c r="W33" s="352"/>
      <c r="X33" s="352"/>
      <c r="Y33" s="352"/>
      <c r="Z33" s="352"/>
      <c r="AA33" s="353"/>
      <c r="AB33" s="334"/>
      <c r="AC33" s="331"/>
      <c r="AD33" s="329"/>
      <c r="AE33" s="329"/>
      <c r="AF33" s="329"/>
      <c r="AG33" s="330"/>
      <c r="AH33" s="342"/>
      <c r="AI33" s="343"/>
      <c r="AJ33" s="343"/>
      <c r="AK33" s="343"/>
      <c r="AL33" s="343"/>
      <c r="AM33" s="344"/>
      <c r="AN33" s="84"/>
      <c r="AO33" s="314"/>
      <c r="AP33" s="315"/>
      <c r="AQ33" s="315"/>
      <c r="AR33" s="315"/>
      <c r="AS33" s="315"/>
      <c r="AT33" s="31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82"/>
      <c r="C34" s="282"/>
      <c r="D34" s="283"/>
      <c r="E34" s="323"/>
      <c r="F34" s="324"/>
      <c r="G34" s="324"/>
      <c r="H34" s="324"/>
      <c r="I34" s="337"/>
      <c r="J34" s="362" t="str">
        <f ca="1">IF(AND('Mapa final'!$J$45="Baja",'Mapa final'!$N$45="Leve"),CONCATENATE("R",'Mapa final'!$A$45),"")</f>
        <v/>
      </c>
      <c r="K34" s="360"/>
      <c r="L34" s="360" t="str">
        <f ca="1">IF(AND('Mapa final'!$J$51="Baja",'Mapa final'!$N$51="Leve"),CONCATENATE("R",'Mapa final'!$A$51),"")</f>
        <v/>
      </c>
      <c r="M34" s="360"/>
      <c r="N34" s="360" t="str">
        <f ca="1">IF(AND('Mapa final'!$J$57="Baja",'Mapa final'!$N$57="Leve"),CONCATENATE("R",'Mapa final'!$A$57),"")</f>
        <v/>
      </c>
      <c r="O34" s="361"/>
      <c r="P34" s="352" t="str">
        <f ca="1">IF(AND('Mapa final'!$J$45="Baja",'Mapa final'!$N$45="Menor"),CONCATENATE("R",'Mapa final'!$A$45),"")</f>
        <v/>
      </c>
      <c r="Q34" s="352"/>
      <c r="R34" s="352" t="str">
        <f ca="1">IF(AND('Mapa final'!$J$51="Baja",'Mapa final'!$N$51="Menor"),CONCATENATE("R",'Mapa final'!$A$51),"")</f>
        <v/>
      </c>
      <c r="S34" s="352"/>
      <c r="T34" s="352" t="str">
        <f ca="1">IF(AND('Mapa final'!$J$57="Baja",'Mapa final'!$N$57="Menor"),CONCATENATE("R",'Mapa final'!$A$57),"")</f>
        <v/>
      </c>
      <c r="U34" s="353"/>
      <c r="V34" s="351" t="str">
        <f ca="1">IF(AND('Mapa final'!$J$45="Baja",'Mapa final'!$N$45="Moderado"),CONCATENATE("R",'Mapa final'!$A$45),"")</f>
        <v/>
      </c>
      <c r="W34" s="352"/>
      <c r="X34" s="352" t="str">
        <f ca="1">IF(AND('Mapa final'!$J$51="Baja",'Mapa final'!$N$51="Moderado"),CONCATENATE("R",'Mapa final'!$A$51),"")</f>
        <v/>
      </c>
      <c r="Y34" s="352"/>
      <c r="Z34" s="352" t="str">
        <f ca="1">IF(AND('Mapa final'!$J$57="Baja",'Mapa final'!$N$57="Moderado"),CONCATENATE("R",'Mapa final'!$A$57),"")</f>
        <v/>
      </c>
      <c r="AA34" s="353"/>
      <c r="AB34" s="334" t="str">
        <f ca="1">IF(AND('Mapa final'!$J$45="Baja",'Mapa final'!$N$45="Mayor"),CONCATENATE("R",'Mapa final'!$A$45),"")</f>
        <v/>
      </c>
      <c r="AC34" s="331"/>
      <c r="AD34" s="329" t="str">
        <f ca="1">IF(AND('Mapa final'!$J$51="Baja",'Mapa final'!$N$51="Mayor"),CONCATENATE("R",'Mapa final'!$A$51),"")</f>
        <v/>
      </c>
      <c r="AE34" s="329"/>
      <c r="AF34" s="329" t="str">
        <f ca="1">IF(AND('Mapa final'!$J$57="Baja",'Mapa final'!$N$57="Mayor"),CONCATENATE("R",'Mapa final'!$A$57),"")</f>
        <v/>
      </c>
      <c r="AG34" s="330"/>
      <c r="AH34" s="342" t="str">
        <f ca="1">IF(AND('Mapa final'!$J$45="Baja",'Mapa final'!$N$45="Catastrófico"),CONCATENATE("R",'Mapa final'!$A$45),"")</f>
        <v/>
      </c>
      <c r="AI34" s="343"/>
      <c r="AJ34" s="343" t="str">
        <f ca="1">IF(AND('Mapa final'!$J$51="Baja",'Mapa final'!$N$51="Catastrófico"),CONCATENATE("R",'Mapa final'!$A$51),"")</f>
        <v/>
      </c>
      <c r="AK34" s="343"/>
      <c r="AL34" s="343" t="str">
        <f ca="1">IF(AND('Mapa final'!$J$57="Baja",'Mapa final'!$N$57="Catastrófico"),CONCATENATE("R",'Mapa final'!$A$57),"")</f>
        <v/>
      </c>
      <c r="AM34" s="344"/>
      <c r="AN34" s="84"/>
      <c r="AO34" s="314"/>
      <c r="AP34" s="315"/>
      <c r="AQ34" s="315"/>
      <c r="AR34" s="315"/>
      <c r="AS34" s="315"/>
      <c r="AT34" s="31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82"/>
      <c r="C35" s="282"/>
      <c r="D35" s="283"/>
      <c r="E35" s="323"/>
      <c r="F35" s="324"/>
      <c r="G35" s="324"/>
      <c r="H35" s="324"/>
      <c r="I35" s="337"/>
      <c r="J35" s="362"/>
      <c r="K35" s="360"/>
      <c r="L35" s="360"/>
      <c r="M35" s="360"/>
      <c r="N35" s="360"/>
      <c r="O35" s="361"/>
      <c r="P35" s="352"/>
      <c r="Q35" s="352"/>
      <c r="R35" s="352"/>
      <c r="S35" s="352"/>
      <c r="T35" s="352"/>
      <c r="U35" s="353"/>
      <c r="V35" s="351"/>
      <c r="W35" s="352"/>
      <c r="X35" s="352"/>
      <c r="Y35" s="352"/>
      <c r="Z35" s="352"/>
      <c r="AA35" s="353"/>
      <c r="AB35" s="334"/>
      <c r="AC35" s="331"/>
      <c r="AD35" s="329"/>
      <c r="AE35" s="329"/>
      <c r="AF35" s="329"/>
      <c r="AG35" s="330"/>
      <c r="AH35" s="342"/>
      <c r="AI35" s="343"/>
      <c r="AJ35" s="343"/>
      <c r="AK35" s="343"/>
      <c r="AL35" s="343"/>
      <c r="AM35" s="344"/>
      <c r="AN35" s="84"/>
      <c r="AO35" s="314"/>
      <c r="AP35" s="315"/>
      <c r="AQ35" s="315"/>
      <c r="AR35" s="315"/>
      <c r="AS35" s="315"/>
      <c r="AT35" s="31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82"/>
      <c r="C36" s="282"/>
      <c r="D36" s="283"/>
      <c r="E36" s="323"/>
      <c r="F36" s="324"/>
      <c r="G36" s="324"/>
      <c r="H36" s="324"/>
      <c r="I36" s="337"/>
      <c r="J36" s="362" t="str">
        <f ca="1">IF(AND('Mapa final'!$J$63="Baja",'Mapa final'!$N$63="Leve"),CONCATENATE("R",'Mapa final'!$A$63),"")</f>
        <v/>
      </c>
      <c r="K36" s="360"/>
      <c r="L36" s="360" t="str">
        <f>IF(AND('Mapa final'!$J$69="Baja",'Mapa final'!$N$69="Leve"),CONCATENATE("R",'Mapa final'!$A$69),"")</f>
        <v/>
      </c>
      <c r="M36" s="360"/>
      <c r="N36" s="360" t="str">
        <f>IF(AND('Mapa final'!$J$75="Baja",'Mapa final'!$N$75="Leve"),CONCATENATE("R",'Mapa final'!$A$75),"")</f>
        <v/>
      </c>
      <c r="O36" s="361"/>
      <c r="P36" s="352" t="str">
        <f ca="1">IF(AND('Mapa final'!$J$63="Baja",'Mapa final'!$N$63="Menor"),CONCATENATE("R",'Mapa final'!$A$63),"")</f>
        <v/>
      </c>
      <c r="Q36" s="352"/>
      <c r="R36" s="352" t="str">
        <f>IF(AND('Mapa final'!$J$69="Baja",'Mapa final'!$N$69="Menor"),CONCATENATE("R",'Mapa final'!$A$69),"")</f>
        <v/>
      </c>
      <c r="S36" s="352"/>
      <c r="T36" s="352" t="str">
        <f>IF(AND('Mapa final'!$J$75="Baja",'Mapa final'!$N$75="Menor"),CONCATENATE("R",'Mapa final'!$A$75),"")</f>
        <v/>
      </c>
      <c r="U36" s="353"/>
      <c r="V36" s="351" t="str">
        <f ca="1">IF(AND('Mapa final'!$J$63="Baja",'Mapa final'!$N$63="Moderado"),CONCATENATE("R",'Mapa final'!$A$63),"")</f>
        <v/>
      </c>
      <c r="W36" s="352"/>
      <c r="X36" s="352" t="str">
        <f>IF(AND('Mapa final'!$J$69="Baja",'Mapa final'!$N$69="Moderado"),CONCATENATE("R",'Mapa final'!$A$69),"")</f>
        <v/>
      </c>
      <c r="Y36" s="352"/>
      <c r="Z36" s="352" t="str">
        <f>IF(AND('Mapa final'!$J$75="Baja",'Mapa final'!$N$75="Moderado"),CONCATENATE("R",'Mapa final'!$A$75),"")</f>
        <v/>
      </c>
      <c r="AA36" s="353"/>
      <c r="AB36" s="334" t="str">
        <f ca="1">IF(AND('Mapa final'!$J$63="Baja",'Mapa final'!$N$63="Mayor"),CONCATENATE("R",'Mapa final'!$A$63),"")</f>
        <v/>
      </c>
      <c r="AC36" s="331"/>
      <c r="AD36" s="329" t="str">
        <f>IF(AND('Mapa final'!$J$69="Baja",'Mapa final'!$N$69="Mayor"),CONCATENATE("R",'Mapa final'!$A$69),"")</f>
        <v/>
      </c>
      <c r="AE36" s="329"/>
      <c r="AF36" s="329" t="str">
        <f>IF(AND('Mapa final'!$J$75="Baja",'Mapa final'!$N$75="Mayor"),CONCATENATE("R",'Mapa final'!$A$75),"")</f>
        <v/>
      </c>
      <c r="AG36" s="330"/>
      <c r="AH36" s="342" t="str">
        <f ca="1">IF(AND('Mapa final'!$J$63="Baja",'Mapa final'!$N$63="Catastrófico"),CONCATENATE("R",'Mapa final'!$A$63),"")</f>
        <v/>
      </c>
      <c r="AI36" s="343"/>
      <c r="AJ36" s="343" t="str">
        <f>IF(AND('Mapa final'!$J$69="Baja",'Mapa final'!$N$69="Catastrófico"),CONCATENATE("R",'Mapa final'!$A$69),"")</f>
        <v/>
      </c>
      <c r="AK36" s="343"/>
      <c r="AL36" s="343" t="str">
        <f>IF(AND('Mapa final'!$J$75="Baja",'Mapa final'!$N$75="Catastrófico"),CONCATENATE("R",'Mapa final'!$A$75),"")</f>
        <v/>
      </c>
      <c r="AM36" s="344"/>
      <c r="AN36" s="84"/>
      <c r="AO36" s="314"/>
      <c r="AP36" s="315"/>
      <c r="AQ36" s="315"/>
      <c r="AR36" s="315"/>
      <c r="AS36" s="315"/>
      <c r="AT36" s="316"/>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82"/>
      <c r="C37" s="282"/>
      <c r="D37" s="283"/>
      <c r="E37" s="326"/>
      <c r="F37" s="327"/>
      <c r="G37" s="327"/>
      <c r="H37" s="327"/>
      <c r="I37" s="327"/>
      <c r="J37" s="363"/>
      <c r="K37" s="364"/>
      <c r="L37" s="364"/>
      <c r="M37" s="364"/>
      <c r="N37" s="364"/>
      <c r="O37" s="365"/>
      <c r="P37" s="355"/>
      <c r="Q37" s="355"/>
      <c r="R37" s="355"/>
      <c r="S37" s="355"/>
      <c r="T37" s="355"/>
      <c r="U37" s="356"/>
      <c r="V37" s="354"/>
      <c r="W37" s="355"/>
      <c r="X37" s="355"/>
      <c r="Y37" s="355"/>
      <c r="Z37" s="355"/>
      <c r="AA37" s="356"/>
      <c r="AB37" s="339"/>
      <c r="AC37" s="340"/>
      <c r="AD37" s="340"/>
      <c r="AE37" s="340"/>
      <c r="AF37" s="340"/>
      <c r="AG37" s="341"/>
      <c r="AH37" s="345"/>
      <c r="AI37" s="346"/>
      <c r="AJ37" s="346"/>
      <c r="AK37" s="346"/>
      <c r="AL37" s="346"/>
      <c r="AM37" s="347"/>
      <c r="AN37" s="84"/>
      <c r="AO37" s="317"/>
      <c r="AP37" s="318"/>
      <c r="AQ37" s="318"/>
      <c r="AR37" s="318"/>
      <c r="AS37" s="318"/>
      <c r="AT37" s="319"/>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82"/>
      <c r="C38" s="282"/>
      <c r="D38" s="283"/>
      <c r="E38" s="320" t="s">
        <v>105</v>
      </c>
      <c r="F38" s="321"/>
      <c r="G38" s="321"/>
      <c r="H38" s="321"/>
      <c r="I38" s="322"/>
      <c r="J38" s="366" t="str">
        <f ca="1">IF(AND('Mapa final'!$J$11="Muy Baja",'Mapa final'!$N$11="Leve"),CONCATENATE("R",'Mapa final'!$A$11),"")</f>
        <v/>
      </c>
      <c r="K38" s="367"/>
      <c r="L38" s="367" t="str">
        <f ca="1">IF(AND('Mapa final'!$J$15="Muy Baja",'Mapa final'!$N$15="Leve"),CONCATENATE("R",'Mapa final'!$A$15),"")</f>
        <v/>
      </c>
      <c r="M38" s="367"/>
      <c r="N38" s="367" t="str">
        <f ca="1">IF(AND('Mapa final'!$J$21="Muy Baja",'Mapa final'!$N$21="Leve"),CONCATENATE("R",'Mapa final'!$A$21),"")</f>
        <v/>
      </c>
      <c r="O38" s="368"/>
      <c r="P38" s="366" t="str">
        <f ca="1">IF(AND('Mapa final'!$J$11="Muy Baja",'Mapa final'!$N$11="Menor"),CONCATENATE("R",'Mapa final'!$A$11),"")</f>
        <v/>
      </c>
      <c r="Q38" s="367"/>
      <c r="R38" s="367" t="str">
        <f ca="1">IF(AND('Mapa final'!$J$15="Muy Baja",'Mapa final'!$N$15="Menor"),CONCATENATE("R",'Mapa final'!$A$15),"")</f>
        <v/>
      </c>
      <c r="S38" s="367"/>
      <c r="T38" s="367" t="str">
        <f ca="1">IF(AND('Mapa final'!$J$21="Muy Baja",'Mapa final'!$N$21="Menor"),CONCATENATE("R",'Mapa final'!$A$21),"")</f>
        <v/>
      </c>
      <c r="U38" s="368"/>
      <c r="V38" s="357" t="str">
        <f ca="1">IF(AND('Mapa final'!$J$11="Muy Baja",'Mapa final'!$N$11="Moderado"),CONCATENATE("R",'Mapa final'!$A$11),"")</f>
        <v/>
      </c>
      <c r="W38" s="358"/>
      <c r="X38" s="358" t="str">
        <f ca="1">IF(AND('Mapa final'!$J$15="Muy Baja",'Mapa final'!$N$15="Moderado"),CONCATENATE("R",'Mapa final'!$A$15),"")</f>
        <v/>
      </c>
      <c r="Y38" s="358"/>
      <c r="Z38" s="358" t="str">
        <f ca="1">IF(AND('Mapa final'!$J$21="Muy Baja",'Mapa final'!$N$21="Moderado"),CONCATENATE("R",'Mapa final'!$A$21),"")</f>
        <v/>
      </c>
      <c r="AA38" s="359"/>
      <c r="AB38" s="332" t="str">
        <f ca="1">IF(AND('Mapa final'!$J$11="Muy Baja",'Mapa final'!$N$11="Mayor"),CONCATENATE("R",'Mapa final'!$A$11),"")</f>
        <v/>
      </c>
      <c r="AC38" s="333"/>
      <c r="AD38" s="333" t="str">
        <f ca="1">IF(AND('Mapa final'!$J$15="Muy Baja",'Mapa final'!$N$15="Mayor"),CONCATENATE("R",'Mapa final'!$A$15),"")</f>
        <v/>
      </c>
      <c r="AE38" s="333"/>
      <c r="AF38" s="333" t="str">
        <f ca="1">IF(AND('Mapa final'!$J$21="Muy Baja",'Mapa final'!$N$21="Mayor"),CONCATENATE("R",'Mapa final'!$A$21),"")</f>
        <v/>
      </c>
      <c r="AG38" s="335"/>
      <c r="AH38" s="348" t="str">
        <f ca="1">IF(AND('Mapa final'!$J$11="Muy Baja",'Mapa final'!$N$11="Catastrófico"),CONCATENATE("R",'Mapa final'!$A$11),"")</f>
        <v/>
      </c>
      <c r="AI38" s="349"/>
      <c r="AJ38" s="349" t="str">
        <f ca="1">IF(AND('Mapa final'!$J$15="Muy Baja",'Mapa final'!$N$15="Catastrófico"),CONCATENATE("R",'Mapa final'!$A$15),"")</f>
        <v/>
      </c>
      <c r="AK38" s="349"/>
      <c r="AL38" s="349" t="str">
        <f ca="1">IF(AND('Mapa final'!$J$21="Muy Baja",'Mapa final'!$N$21="Catastrófico"),CONCATENATE("R",'Mapa final'!$A$21),"")</f>
        <v/>
      </c>
      <c r="AM38" s="350"/>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82"/>
      <c r="C39" s="282"/>
      <c r="D39" s="283"/>
      <c r="E39" s="323"/>
      <c r="F39" s="324"/>
      <c r="G39" s="324"/>
      <c r="H39" s="324"/>
      <c r="I39" s="325"/>
      <c r="J39" s="362"/>
      <c r="K39" s="360"/>
      <c r="L39" s="360"/>
      <c r="M39" s="360"/>
      <c r="N39" s="360"/>
      <c r="O39" s="361"/>
      <c r="P39" s="362"/>
      <c r="Q39" s="360"/>
      <c r="R39" s="360"/>
      <c r="S39" s="360"/>
      <c r="T39" s="360"/>
      <c r="U39" s="361"/>
      <c r="V39" s="351"/>
      <c r="W39" s="352"/>
      <c r="X39" s="352"/>
      <c r="Y39" s="352"/>
      <c r="Z39" s="352"/>
      <c r="AA39" s="353"/>
      <c r="AB39" s="334"/>
      <c r="AC39" s="331"/>
      <c r="AD39" s="331"/>
      <c r="AE39" s="331"/>
      <c r="AF39" s="331"/>
      <c r="AG39" s="330"/>
      <c r="AH39" s="342"/>
      <c r="AI39" s="343"/>
      <c r="AJ39" s="343"/>
      <c r="AK39" s="343"/>
      <c r="AL39" s="343"/>
      <c r="AM39" s="34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82"/>
      <c r="C40" s="282"/>
      <c r="D40" s="283"/>
      <c r="E40" s="323"/>
      <c r="F40" s="324"/>
      <c r="G40" s="324"/>
      <c r="H40" s="324"/>
      <c r="I40" s="325"/>
      <c r="J40" s="362" t="str">
        <f ca="1">IF(AND('Mapa final'!$J$27="Muy Baja",'Mapa final'!$N$27="Leve"),CONCATENATE("R",'Mapa final'!$A$27),"")</f>
        <v/>
      </c>
      <c r="K40" s="360"/>
      <c r="L40" s="360" t="str">
        <f ca="1">IF(AND('Mapa final'!$J$33="Muy Baja",'Mapa final'!$N$33="Leve"),CONCATENATE("R",'Mapa final'!$A$33),"")</f>
        <v/>
      </c>
      <c r="M40" s="360"/>
      <c r="N40" s="360" t="str">
        <f ca="1">IF(AND('Mapa final'!$J$39="Muy Baja",'Mapa final'!$N$39="Leve"),CONCATENATE("R",'Mapa final'!$A$39),"")</f>
        <v/>
      </c>
      <c r="O40" s="361"/>
      <c r="P40" s="362" t="str">
        <f ca="1">IF(AND('Mapa final'!$J$27="Muy Baja",'Mapa final'!$N$27="Menor"),CONCATENATE("R",'Mapa final'!$A$27),"")</f>
        <v/>
      </c>
      <c r="Q40" s="360"/>
      <c r="R40" s="360" t="str">
        <f ca="1">IF(AND('Mapa final'!$J$33="Muy Baja",'Mapa final'!$N$33="Menor"),CONCATENATE("R",'Mapa final'!$A$33),"")</f>
        <v/>
      </c>
      <c r="S40" s="360"/>
      <c r="T40" s="360" t="str">
        <f ca="1">IF(AND('Mapa final'!$J$39="Muy Baja",'Mapa final'!$N$39="Menor"),CONCATENATE("R",'Mapa final'!$A$39),"")</f>
        <v/>
      </c>
      <c r="U40" s="361"/>
      <c r="V40" s="351" t="str">
        <f ca="1">IF(AND('Mapa final'!$J$27="Muy Baja",'Mapa final'!$N$27="Moderado"),CONCATENATE("R",'Mapa final'!$A$27),"")</f>
        <v/>
      </c>
      <c r="W40" s="352"/>
      <c r="X40" s="352" t="str">
        <f ca="1">IF(AND('Mapa final'!$J$33="Muy Baja",'Mapa final'!$N$33="Moderado"),CONCATENATE("R",'Mapa final'!$A$33),"")</f>
        <v/>
      </c>
      <c r="Y40" s="352"/>
      <c r="Z40" s="352" t="str">
        <f ca="1">IF(AND('Mapa final'!$J$39="Muy Baja",'Mapa final'!$N$39="Moderado"),CONCATENATE("R",'Mapa final'!$A$39),"")</f>
        <v/>
      </c>
      <c r="AA40" s="353"/>
      <c r="AB40" s="334" t="str">
        <f ca="1">IF(AND('Mapa final'!$J$27="Muy Baja",'Mapa final'!$N$27="Mayor"),CONCATENATE("R",'Mapa final'!$A$27),"")</f>
        <v/>
      </c>
      <c r="AC40" s="331"/>
      <c r="AD40" s="329" t="str">
        <f ca="1">IF(AND('Mapa final'!$J$33="Muy Baja",'Mapa final'!$N$33="Mayor"),CONCATENATE("R",'Mapa final'!$A$33),"")</f>
        <v/>
      </c>
      <c r="AE40" s="329"/>
      <c r="AF40" s="329" t="str">
        <f ca="1">IF(AND('Mapa final'!$J$39="Muy Baja",'Mapa final'!$N$39="Mayor"),CONCATENATE("R",'Mapa final'!$A$39),"")</f>
        <v/>
      </c>
      <c r="AG40" s="330"/>
      <c r="AH40" s="342" t="str">
        <f ca="1">IF(AND('Mapa final'!$J$27="Muy Baja",'Mapa final'!$N$27="Catastrófico"),CONCATENATE("R",'Mapa final'!$A$27),"")</f>
        <v/>
      </c>
      <c r="AI40" s="343"/>
      <c r="AJ40" s="343" t="str">
        <f ca="1">IF(AND('Mapa final'!$J$33="Muy Baja",'Mapa final'!$N$33="Catastrófico"),CONCATENATE("R",'Mapa final'!$A$33),"")</f>
        <v/>
      </c>
      <c r="AK40" s="343"/>
      <c r="AL40" s="343" t="str">
        <f ca="1">IF(AND('Mapa final'!$J$39="Muy Baja",'Mapa final'!$N$39="Catastrófico"),CONCATENATE("R",'Mapa final'!$A$39),"")</f>
        <v/>
      </c>
      <c r="AM40" s="34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82"/>
      <c r="C41" s="282"/>
      <c r="D41" s="283"/>
      <c r="E41" s="323"/>
      <c r="F41" s="324"/>
      <c r="G41" s="324"/>
      <c r="H41" s="324"/>
      <c r="I41" s="325"/>
      <c r="J41" s="362"/>
      <c r="K41" s="360"/>
      <c r="L41" s="360"/>
      <c r="M41" s="360"/>
      <c r="N41" s="360"/>
      <c r="O41" s="361"/>
      <c r="P41" s="362"/>
      <c r="Q41" s="360"/>
      <c r="R41" s="360"/>
      <c r="S41" s="360"/>
      <c r="T41" s="360"/>
      <c r="U41" s="361"/>
      <c r="V41" s="351"/>
      <c r="W41" s="352"/>
      <c r="X41" s="352"/>
      <c r="Y41" s="352"/>
      <c r="Z41" s="352"/>
      <c r="AA41" s="353"/>
      <c r="AB41" s="334"/>
      <c r="AC41" s="331"/>
      <c r="AD41" s="329"/>
      <c r="AE41" s="329"/>
      <c r="AF41" s="329"/>
      <c r="AG41" s="330"/>
      <c r="AH41" s="342"/>
      <c r="AI41" s="343"/>
      <c r="AJ41" s="343"/>
      <c r="AK41" s="343"/>
      <c r="AL41" s="343"/>
      <c r="AM41" s="34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82"/>
      <c r="C42" s="282"/>
      <c r="D42" s="283"/>
      <c r="E42" s="323"/>
      <c r="F42" s="324"/>
      <c r="G42" s="324"/>
      <c r="H42" s="324"/>
      <c r="I42" s="325"/>
      <c r="J42" s="362" t="str">
        <f ca="1">IF(AND('Mapa final'!$J$45="Muy Baja",'Mapa final'!$N$45="Leve"),CONCATENATE("R",'Mapa final'!$A$45),"")</f>
        <v/>
      </c>
      <c r="K42" s="360"/>
      <c r="L42" s="360" t="str">
        <f ca="1">IF(AND('Mapa final'!$J$51="Muy Baja",'Mapa final'!$N$51="Leve"),CONCATENATE("R",'Mapa final'!$A$51),"")</f>
        <v/>
      </c>
      <c r="M42" s="360"/>
      <c r="N42" s="360" t="str">
        <f ca="1">IF(AND('Mapa final'!$J$57="Muy Baja",'Mapa final'!$N$57="Leve"),CONCATENATE("R",'Mapa final'!$A$57),"")</f>
        <v/>
      </c>
      <c r="O42" s="361"/>
      <c r="P42" s="362" t="str">
        <f ca="1">IF(AND('Mapa final'!$J$45="Muy Baja",'Mapa final'!$N$45="Menor"),CONCATENATE("R",'Mapa final'!$A$45),"")</f>
        <v/>
      </c>
      <c r="Q42" s="360"/>
      <c r="R42" s="360" t="str">
        <f ca="1">IF(AND('Mapa final'!$J$51="Muy Baja",'Mapa final'!$N$51="Menor"),CONCATENATE("R",'Mapa final'!$A$51),"")</f>
        <v/>
      </c>
      <c r="S42" s="360"/>
      <c r="T42" s="360" t="str">
        <f ca="1">IF(AND('Mapa final'!$J$57="Muy Baja",'Mapa final'!$N$57="Menor"),CONCATENATE("R",'Mapa final'!$A$57),"")</f>
        <v/>
      </c>
      <c r="U42" s="361"/>
      <c r="V42" s="351" t="str">
        <f ca="1">IF(AND('Mapa final'!$J$45="Muy Baja",'Mapa final'!$N$45="Moderado"),CONCATENATE("R",'Mapa final'!$A$45),"")</f>
        <v/>
      </c>
      <c r="W42" s="352"/>
      <c r="X42" s="352" t="str">
        <f ca="1">IF(AND('Mapa final'!$J$51="Muy Baja",'Mapa final'!$N$51="Moderado"),CONCATENATE("R",'Mapa final'!$A$51),"")</f>
        <v/>
      </c>
      <c r="Y42" s="352"/>
      <c r="Z42" s="352" t="str">
        <f ca="1">IF(AND('Mapa final'!$J$57="Muy Baja",'Mapa final'!$N$57="Moderado"),CONCATENATE("R",'Mapa final'!$A$57),"")</f>
        <v/>
      </c>
      <c r="AA42" s="353"/>
      <c r="AB42" s="334" t="str">
        <f ca="1">IF(AND('Mapa final'!$J$45="Muy Baja",'Mapa final'!$N$45="Mayor"),CONCATENATE("R",'Mapa final'!$A$45),"")</f>
        <v/>
      </c>
      <c r="AC42" s="331"/>
      <c r="AD42" s="329" t="str">
        <f ca="1">IF(AND('Mapa final'!$J$51="Muy Baja",'Mapa final'!$N$51="Mayor"),CONCATENATE("R",'Mapa final'!$A$51),"")</f>
        <v/>
      </c>
      <c r="AE42" s="329"/>
      <c r="AF42" s="329" t="str">
        <f ca="1">IF(AND('Mapa final'!$J$57="Muy Baja",'Mapa final'!$N$57="Mayor"),CONCATENATE("R",'Mapa final'!$A$57),"")</f>
        <v/>
      </c>
      <c r="AG42" s="330"/>
      <c r="AH42" s="342" t="str">
        <f ca="1">IF(AND('Mapa final'!$J$45="Muy Baja",'Mapa final'!$N$45="Catastrófico"),CONCATENATE("R",'Mapa final'!$A$45),"")</f>
        <v/>
      </c>
      <c r="AI42" s="343"/>
      <c r="AJ42" s="343" t="str">
        <f ca="1">IF(AND('Mapa final'!$J$51="Muy Baja",'Mapa final'!$N$51="Catastrófico"),CONCATENATE("R",'Mapa final'!$A$51),"")</f>
        <v/>
      </c>
      <c r="AK42" s="343"/>
      <c r="AL42" s="343" t="str">
        <f ca="1">IF(AND('Mapa final'!$J$57="Muy Baja",'Mapa final'!$N$57="Catastrófico"),CONCATENATE("R",'Mapa final'!$A$57),"")</f>
        <v/>
      </c>
      <c r="AM42" s="34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82"/>
      <c r="C43" s="282"/>
      <c r="D43" s="283"/>
      <c r="E43" s="323"/>
      <c r="F43" s="324"/>
      <c r="G43" s="324"/>
      <c r="H43" s="324"/>
      <c r="I43" s="325"/>
      <c r="J43" s="362"/>
      <c r="K43" s="360"/>
      <c r="L43" s="360"/>
      <c r="M43" s="360"/>
      <c r="N43" s="360"/>
      <c r="O43" s="361"/>
      <c r="P43" s="362"/>
      <c r="Q43" s="360"/>
      <c r="R43" s="360"/>
      <c r="S43" s="360"/>
      <c r="T43" s="360"/>
      <c r="U43" s="361"/>
      <c r="V43" s="351"/>
      <c r="W43" s="352"/>
      <c r="X43" s="352"/>
      <c r="Y43" s="352"/>
      <c r="Z43" s="352"/>
      <c r="AA43" s="353"/>
      <c r="AB43" s="334"/>
      <c r="AC43" s="331"/>
      <c r="AD43" s="329"/>
      <c r="AE43" s="329"/>
      <c r="AF43" s="329"/>
      <c r="AG43" s="330"/>
      <c r="AH43" s="342"/>
      <c r="AI43" s="343"/>
      <c r="AJ43" s="343"/>
      <c r="AK43" s="343"/>
      <c r="AL43" s="343"/>
      <c r="AM43" s="34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82"/>
      <c r="C44" s="282"/>
      <c r="D44" s="283"/>
      <c r="E44" s="323"/>
      <c r="F44" s="324"/>
      <c r="G44" s="324"/>
      <c r="H44" s="324"/>
      <c r="I44" s="325"/>
      <c r="J44" s="362" t="str">
        <f ca="1">IF(AND('Mapa final'!$J$63="Muy Baja",'Mapa final'!$N$63="Leve"),CONCATENATE("R",'Mapa final'!$A$63),"")</f>
        <v/>
      </c>
      <c r="K44" s="360"/>
      <c r="L44" s="360" t="str">
        <f>IF(AND('Mapa final'!$J$69="Muy Baja",'Mapa final'!$N$69="Leve"),CONCATENATE("R",'Mapa final'!$A$69),"")</f>
        <v/>
      </c>
      <c r="M44" s="360"/>
      <c r="N44" s="360" t="str">
        <f>IF(AND('Mapa final'!$J$75="Muy Baja",'Mapa final'!$N$75="Leve"),CONCATENATE("R",'Mapa final'!$A$75),"")</f>
        <v/>
      </c>
      <c r="O44" s="361"/>
      <c r="P44" s="362" t="str">
        <f ca="1">IF(AND('Mapa final'!$J$63="Muy Baja",'Mapa final'!$N$63="Menor"),CONCATENATE("R",'Mapa final'!$A$63),"")</f>
        <v/>
      </c>
      <c r="Q44" s="360"/>
      <c r="R44" s="360" t="str">
        <f>IF(AND('Mapa final'!$J$69="Muy Baja",'Mapa final'!$N$69="Menor"),CONCATENATE("R",'Mapa final'!$A$69),"")</f>
        <v/>
      </c>
      <c r="S44" s="360"/>
      <c r="T44" s="360" t="str">
        <f>IF(AND('Mapa final'!$J$75="Muy Baja",'Mapa final'!$N$75="Menor"),CONCATENATE("R",'Mapa final'!$A$75),"")</f>
        <v/>
      </c>
      <c r="U44" s="361"/>
      <c r="V44" s="351" t="str">
        <f ca="1">IF(AND('Mapa final'!$J$63="Muy Baja",'Mapa final'!$N$63="Moderado"),CONCATENATE("R",'Mapa final'!$A$63),"")</f>
        <v/>
      </c>
      <c r="W44" s="352"/>
      <c r="X44" s="352" t="str">
        <f>IF(AND('Mapa final'!$J$69="Muy Baja",'Mapa final'!$N$69="Moderado"),CONCATENATE("R",'Mapa final'!$A$69),"")</f>
        <v/>
      </c>
      <c r="Y44" s="352"/>
      <c r="Z44" s="352" t="str">
        <f>IF(AND('Mapa final'!$J$75="Muy Baja",'Mapa final'!$N$75="Moderado"),CONCATENATE("R",'Mapa final'!$A$75),"")</f>
        <v/>
      </c>
      <c r="AA44" s="353"/>
      <c r="AB44" s="334" t="str">
        <f ca="1">IF(AND('Mapa final'!$J$63="Muy Baja",'Mapa final'!$N$63="Mayor"),CONCATENATE("R",'Mapa final'!$A$63),"")</f>
        <v/>
      </c>
      <c r="AC44" s="331"/>
      <c r="AD44" s="329" t="str">
        <f>IF(AND('Mapa final'!$J$69="Muy Baja",'Mapa final'!$N$69="Mayor"),CONCATENATE("R",'Mapa final'!$A$69),"")</f>
        <v/>
      </c>
      <c r="AE44" s="329"/>
      <c r="AF44" s="329" t="str">
        <f>IF(AND('Mapa final'!$J$75="Muy Baja",'Mapa final'!$N$75="Mayor"),CONCATENATE("R",'Mapa final'!$A$75),"")</f>
        <v/>
      </c>
      <c r="AG44" s="330"/>
      <c r="AH44" s="342" t="str">
        <f ca="1">IF(AND('Mapa final'!$J$63="Muy Baja",'Mapa final'!$N$63="Catastrófico"),CONCATENATE("R",'Mapa final'!$A$63),"")</f>
        <v/>
      </c>
      <c r="AI44" s="343"/>
      <c r="AJ44" s="343" t="str">
        <f>IF(AND('Mapa final'!$J$69="Muy Baja",'Mapa final'!$N$69="Catastrófico"),CONCATENATE("R",'Mapa final'!$A$69),"")</f>
        <v/>
      </c>
      <c r="AK44" s="343"/>
      <c r="AL44" s="343" t="str">
        <f>IF(AND('Mapa final'!$J$75="Muy Baja",'Mapa final'!$N$75="Catastrófico"),CONCATENATE("R",'Mapa final'!$A$75),"")</f>
        <v/>
      </c>
      <c r="AM44" s="34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82"/>
      <c r="C45" s="282"/>
      <c r="D45" s="283"/>
      <c r="E45" s="326"/>
      <c r="F45" s="327"/>
      <c r="G45" s="327"/>
      <c r="H45" s="327"/>
      <c r="I45" s="328"/>
      <c r="J45" s="363"/>
      <c r="K45" s="364"/>
      <c r="L45" s="364"/>
      <c r="M45" s="364"/>
      <c r="N45" s="364"/>
      <c r="O45" s="365"/>
      <c r="P45" s="363"/>
      <c r="Q45" s="364"/>
      <c r="R45" s="364"/>
      <c r="S45" s="364"/>
      <c r="T45" s="364"/>
      <c r="U45" s="365"/>
      <c r="V45" s="354"/>
      <c r="W45" s="355"/>
      <c r="X45" s="355"/>
      <c r="Y45" s="355"/>
      <c r="Z45" s="355"/>
      <c r="AA45" s="356"/>
      <c r="AB45" s="339"/>
      <c r="AC45" s="340"/>
      <c r="AD45" s="340"/>
      <c r="AE45" s="340"/>
      <c r="AF45" s="340"/>
      <c r="AG45" s="341"/>
      <c r="AH45" s="345"/>
      <c r="AI45" s="346"/>
      <c r="AJ45" s="346"/>
      <c r="AK45" s="346"/>
      <c r="AL45" s="346"/>
      <c r="AM45" s="347"/>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320" t="s">
        <v>104</v>
      </c>
      <c r="K46" s="321"/>
      <c r="L46" s="321"/>
      <c r="M46" s="321"/>
      <c r="N46" s="321"/>
      <c r="O46" s="322"/>
      <c r="P46" s="320" t="s">
        <v>103</v>
      </c>
      <c r="Q46" s="321"/>
      <c r="R46" s="321"/>
      <c r="S46" s="321"/>
      <c r="T46" s="321"/>
      <c r="U46" s="322"/>
      <c r="V46" s="320" t="s">
        <v>102</v>
      </c>
      <c r="W46" s="321"/>
      <c r="X46" s="321"/>
      <c r="Y46" s="321"/>
      <c r="Z46" s="321"/>
      <c r="AA46" s="322"/>
      <c r="AB46" s="320" t="s">
        <v>101</v>
      </c>
      <c r="AC46" s="338"/>
      <c r="AD46" s="321"/>
      <c r="AE46" s="321"/>
      <c r="AF46" s="321"/>
      <c r="AG46" s="322"/>
      <c r="AH46" s="320" t="s">
        <v>100</v>
      </c>
      <c r="AI46" s="321"/>
      <c r="AJ46" s="321"/>
      <c r="AK46" s="321"/>
      <c r="AL46" s="321"/>
      <c r="AM46" s="322"/>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323"/>
      <c r="K47" s="324"/>
      <c r="L47" s="324"/>
      <c r="M47" s="324"/>
      <c r="N47" s="324"/>
      <c r="O47" s="325"/>
      <c r="P47" s="323"/>
      <c r="Q47" s="324"/>
      <c r="R47" s="324"/>
      <c r="S47" s="324"/>
      <c r="T47" s="324"/>
      <c r="U47" s="325"/>
      <c r="V47" s="323"/>
      <c r="W47" s="324"/>
      <c r="X47" s="324"/>
      <c r="Y47" s="324"/>
      <c r="Z47" s="324"/>
      <c r="AA47" s="325"/>
      <c r="AB47" s="323"/>
      <c r="AC47" s="324"/>
      <c r="AD47" s="324"/>
      <c r="AE47" s="324"/>
      <c r="AF47" s="324"/>
      <c r="AG47" s="325"/>
      <c r="AH47" s="323"/>
      <c r="AI47" s="324"/>
      <c r="AJ47" s="324"/>
      <c r="AK47" s="324"/>
      <c r="AL47" s="324"/>
      <c r="AM47" s="325"/>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323"/>
      <c r="K48" s="324"/>
      <c r="L48" s="324"/>
      <c r="M48" s="324"/>
      <c r="N48" s="324"/>
      <c r="O48" s="325"/>
      <c r="P48" s="323"/>
      <c r="Q48" s="324"/>
      <c r="R48" s="324"/>
      <c r="S48" s="324"/>
      <c r="T48" s="324"/>
      <c r="U48" s="325"/>
      <c r="V48" s="323"/>
      <c r="W48" s="324"/>
      <c r="X48" s="324"/>
      <c r="Y48" s="324"/>
      <c r="Z48" s="324"/>
      <c r="AA48" s="325"/>
      <c r="AB48" s="323"/>
      <c r="AC48" s="324"/>
      <c r="AD48" s="324"/>
      <c r="AE48" s="324"/>
      <c r="AF48" s="324"/>
      <c r="AG48" s="325"/>
      <c r="AH48" s="323"/>
      <c r="AI48" s="324"/>
      <c r="AJ48" s="324"/>
      <c r="AK48" s="324"/>
      <c r="AL48" s="324"/>
      <c r="AM48" s="325"/>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323"/>
      <c r="K49" s="324"/>
      <c r="L49" s="324"/>
      <c r="M49" s="324"/>
      <c r="N49" s="324"/>
      <c r="O49" s="325"/>
      <c r="P49" s="323"/>
      <c r="Q49" s="324"/>
      <c r="R49" s="324"/>
      <c r="S49" s="324"/>
      <c r="T49" s="324"/>
      <c r="U49" s="325"/>
      <c r="V49" s="323"/>
      <c r="W49" s="324"/>
      <c r="X49" s="324"/>
      <c r="Y49" s="324"/>
      <c r="Z49" s="324"/>
      <c r="AA49" s="325"/>
      <c r="AB49" s="323"/>
      <c r="AC49" s="324"/>
      <c r="AD49" s="324"/>
      <c r="AE49" s="324"/>
      <c r="AF49" s="324"/>
      <c r="AG49" s="325"/>
      <c r="AH49" s="323"/>
      <c r="AI49" s="324"/>
      <c r="AJ49" s="324"/>
      <c r="AK49" s="324"/>
      <c r="AL49" s="324"/>
      <c r="AM49" s="325"/>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323"/>
      <c r="K50" s="324"/>
      <c r="L50" s="324"/>
      <c r="M50" s="324"/>
      <c r="N50" s="324"/>
      <c r="O50" s="325"/>
      <c r="P50" s="323"/>
      <c r="Q50" s="324"/>
      <c r="R50" s="324"/>
      <c r="S50" s="324"/>
      <c r="T50" s="324"/>
      <c r="U50" s="325"/>
      <c r="V50" s="323"/>
      <c r="W50" s="324"/>
      <c r="X50" s="324"/>
      <c r="Y50" s="324"/>
      <c r="Z50" s="324"/>
      <c r="AA50" s="325"/>
      <c r="AB50" s="323"/>
      <c r="AC50" s="324"/>
      <c r="AD50" s="324"/>
      <c r="AE50" s="324"/>
      <c r="AF50" s="324"/>
      <c r="AG50" s="325"/>
      <c r="AH50" s="323"/>
      <c r="AI50" s="324"/>
      <c r="AJ50" s="324"/>
      <c r="AK50" s="324"/>
      <c r="AL50" s="324"/>
      <c r="AM50" s="325"/>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326"/>
      <c r="K51" s="327"/>
      <c r="L51" s="327"/>
      <c r="M51" s="327"/>
      <c r="N51" s="327"/>
      <c r="O51" s="328"/>
      <c r="P51" s="326"/>
      <c r="Q51" s="327"/>
      <c r="R51" s="327"/>
      <c r="S51" s="327"/>
      <c r="T51" s="327"/>
      <c r="U51" s="328"/>
      <c r="V51" s="326"/>
      <c r="W51" s="327"/>
      <c r="X51" s="327"/>
      <c r="Y51" s="327"/>
      <c r="Z51" s="327"/>
      <c r="AA51" s="328"/>
      <c r="AB51" s="326"/>
      <c r="AC51" s="327"/>
      <c r="AD51" s="327"/>
      <c r="AE51" s="327"/>
      <c r="AF51" s="327"/>
      <c r="AG51" s="328"/>
      <c r="AH51" s="326"/>
      <c r="AI51" s="327"/>
      <c r="AJ51" s="327"/>
      <c r="AK51" s="327"/>
      <c r="AL51" s="327"/>
      <c r="AM51" s="328"/>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B2" sqref="B2:I4"/>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96" t="s">
        <v>143</v>
      </c>
      <c r="C2" s="397"/>
      <c r="D2" s="397"/>
      <c r="E2" s="397"/>
      <c r="F2" s="397"/>
      <c r="G2" s="397"/>
      <c r="H2" s="397"/>
      <c r="I2" s="397"/>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97"/>
      <c r="C3" s="397"/>
      <c r="D3" s="397"/>
      <c r="E3" s="397"/>
      <c r="F3" s="397"/>
      <c r="G3" s="397"/>
      <c r="H3" s="397"/>
      <c r="I3" s="397"/>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97"/>
      <c r="C4" s="397"/>
      <c r="D4" s="397"/>
      <c r="E4" s="397"/>
      <c r="F4" s="397"/>
      <c r="G4" s="397"/>
      <c r="H4" s="397"/>
      <c r="I4" s="397"/>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82" t="s">
        <v>3</v>
      </c>
      <c r="C6" s="282"/>
      <c r="D6" s="283"/>
      <c r="E6" s="379" t="s">
        <v>108</v>
      </c>
      <c r="F6" s="380"/>
      <c r="G6" s="380"/>
      <c r="H6" s="380"/>
      <c r="I6" s="398"/>
      <c r="J6" s="46" t="str">
        <f ca="1">IF(AND('Mapa final'!$AA$11="Muy Alta",'Mapa final'!$AC$11="Leve"),CONCATENATE("R1C",'Mapa final'!$Q$11),"")</f>
        <v/>
      </c>
      <c r="K6" s="47" t="str">
        <f ca="1">IF(AND('Mapa final'!$AA$12="Muy Alta",'Mapa final'!$AC$12="Leve"),CONCATENATE("R1C",'Mapa final'!$Q$12),"")</f>
        <v/>
      </c>
      <c r="L6" s="47" t="e">
        <f>IF(AND('Mapa final'!#REF!="Muy Alta",'Mapa final'!#REF!="Leve"),CONCATENATE("R1C",'Mapa final'!#REF!),"")</f>
        <v>#REF!</v>
      </c>
      <c r="M6" s="47" t="e">
        <f>IF(AND('Mapa final'!#REF!="Muy Alta",'Mapa final'!#REF!="Leve"),CONCATENATE("R1C",'Mapa final'!#REF!),"")</f>
        <v>#REF!</v>
      </c>
      <c r="N6" s="47" t="str">
        <f>IF(AND('Mapa final'!$AA$13="Muy Alta",'Mapa final'!$AC$13="Leve"),CONCATENATE("R1C",'Mapa final'!$Q$13),"")</f>
        <v/>
      </c>
      <c r="O6" s="48" t="str">
        <f>IF(AND('Mapa final'!$AA$14="Muy Alta",'Mapa final'!$AC$14="Leve"),CONCATENATE("R1C",'Mapa final'!$Q$14),"")</f>
        <v/>
      </c>
      <c r="P6" s="46" t="str">
        <f ca="1">IF(AND('Mapa final'!$AA$11="Muy Alta",'Mapa final'!$AC$11="Menor"),CONCATENATE("R1C",'Mapa final'!$Q$11),"")</f>
        <v/>
      </c>
      <c r="Q6" s="47" t="str">
        <f ca="1">IF(AND('Mapa final'!$AA$12="Muy Alta",'Mapa final'!$AC$12="Menor"),CONCATENATE("R1C",'Mapa final'!$Q$12),"")</f>
        <v/>
      </c>
      <c r="R6" s="47" t="e">
        <f>IF(AND('Mapa final'!#REF!="Muy Alta",'Mapa final'!#REF!="Menor"),CONCATENATE("R1C",'Mapa final'!#REF!),"")</f>
        <v>#REF!</v>
      </c>
      <c r="S6" s="47" t="e">
        <f>IF(AND('Mapa final'!#REF!="Muy Alta",'Mapa final'!#REF!="Menor"),CONCATENATE("R1C",'Mapa final'!#REF!),"")</f>
        <v>#REF!</v>
      </c>
      <c r="T6" s="47" t="str">
        <f>IF(AND('Mapa final'!$AA$13="Muy Alta",'Mapa final'!$AC$13="Menor"),CONCATENATE("R1C",'Mapa final'!$Q$13),"")</f>
        <v/>
      </c>
      <c r="U6" s="48" t="str">
        <f>IF(AND('Mapa final'!$AA$14="Muy Alta",'Mapa final'!$AC$14="Menor"),CONCATENATE("R1C",'Mapa final'!$Q$14),"")</f>
        <v/>
      </c>
      <c r="V6" s="46" t="str">
        <f ca="1">IF(AND('Mapa final'!$AA$11="Muy Alta",'Mapa final'!$AC$11="Moderado"),CONCATENATE("R1C",'Mapa final'!$Q$11),"")</f>
        <v/>
      </c>
      <c r="W6" s="47" t="str">
        <f ca="1">IF(AND('Mapa final'!$AA$12="Muy Alta",'Mapa final'!$AC$12="Moderado"),CONCATENATE("R1C",'Mapa final'!$Q$12),"")</f>
        <v/>
      </c>
      <c r="X6" s="47" t="e">
        <f>IF(AND('Mapa final'!#REF!="Muy Alta",'Mapa final'!#REF!="Moderado"),CONCATENATE("R1C",'Mapa final'!#REF!),"")</f>
        <v>#REF!</v>
      </c>
      <c r="Y6" s="47" t="e">
        <f>IF(AND('Mapa final'!#REF!="Muy Alta",'Mapa final'!#REF!="Moderado"),CONCATENATE("R1C",'Mapa final'!#REF!),"")</f>
        <v>#REF!</v>
      </c>
      <c r="Z6" s="47" t="str">
        <f>IF(AND('Mapa final'!$AA$13="Muy Alta",'Mapa final'!$AC$13="Moderado"),CONCATENATE("R1C",'Mapa final'!$Q$13),"")</f>
        <v/>
      </c>
      <c r="AA6" s="48" t="str">
        <f>IF(AND('Mapa final'!$AA$14="Muy Alta",'Mapa final'!$AC$14="Moderado"),CONCATENATE("R1C",'Mapa final'!$Q$14),"")</f>
        <v/>
      </c>
      <c r="AB6" s="46" t="str">
        <f ca="1">IF(AND('Mapa final'!$AA$11="Muy Alta",'Mapa final'!$AC$11="Mayor"),CONCATENATE("R1C",'Mapa final'!$Q$11),"")</f>
        <v/>
      </c>
      <c r="AC6" s="47" t="str">
        <f ca="1">IF(AND('Mapa final'!$AA$12="Muy Alta",'Mapa final'!$AC$12="Mayor"),CONCATENATE("R1C",'Mapa final'!$Q$12),"")</f>
        <v/>
      </c>
      <c r="AD6" s="47" t="e">
        <f>IF(AND('Mapa final'!#REF!="Muy Alta",'Mapa final'!#REF!="Mayor"),CONCATENATE("R1C",'Mapa final'!#REF!),"")</f>
        <v>#REF!</v>
      </c>
      <c r="AE6" s="47" t="e">
        <f>IF(AND('Mapa final'!#REF!="Muy Alta",'Mapa final'!#REF!="Mayor"),CONCATENATE("R1C",'Mapa final'!#REF!),"")</f>
        <v>#REF!</v>
      </c>
      <c r="AF6" s="47" t="str">
        <f>IF(AND('Mapa final'!$AA$13="Muy Alta",'Mapa final'!$AC$13="Mayor"),CONCATENATE("R1C",'Mapa final'!$Q$13),"")</f>
        <v/>
      </c>
      <c r="AG6" s="48" t="str">
        <f>IF(AND('Mapa final'!$AA$14="Muy Alta",'Mapa final'!$AC$14="Mayor"),CONCATENATE("R1C",'Mapa final'!$Q$14),"")</f>
        <v/>
      </c>
      <c r="AH6" s="49" t="str">
        <f ca="1">IF(AND('Mapa final'!$AA$11="Muy Alta",'Mapa final'!$AC$11="Catastrófico"),CONCATENATE("R1C",'Mapa final'!$Q$11),"")</f>
        <v/>
      </c>
      <c r="AI6" s="50" t="str">
        <f ca="1">IF(AND('Mapa final'!$AA$12="Muy Alta",'Mapa final'!$AC$12="Catastrófico"),CONCATENATE("R1C",'Mapa final'!$Q$12),"")</f>
        <v/>
      </c>
      <c r="AJ6" s="50" t="e">
        <f>IF(AND('Mapa final'!#REF!="Muy Alta",'Mapa final'!#REF!="Catastrófico"),CONCATENATE("R1C",'Mapa final'!#REF!),"")</f>
        <v>#REF!</v>
      </c>
      <c r="AK6" s="50" t="e">
        <f>IF(AND('Mapa final'!#REF!="Muy Alta",'Mapa final'!#REF!="Catastrófico"),CONCATENATE("R1C",'Mapa final'!#REF!),"")</f>
        <v>#REF!</v>
      </c>
      <c r="AL6" s="50" t="str">
        <f>IF(AND('Mapa final'!$AA$13="Muy Alta",'Mapa final'!$AC$13="Catastrófico"),CONCATENATE("R1C",'Mapa final'!$Q$13),"")</f>
        <v/>
      </c>
      <c r="AM6" s="51" t="str">
        <f>IF(AND('Mapa final'!$AA$14="Muy Alta",'Mapa final'!$AC$14="Catastrófico"),CONCATENATE("R1C",'Mapa final'!$Q$14),"")</f>
        <v/>
      </c>
      <c r="AN6" s="84"/>
      <c r="AO6" s="387" t="s">
        <v>76</v>
      </c>
      <c r="AP6" s="388"/>
      <c r="AQ6" s="388"/>
      <c r="AR6" s="388"/>
      <c r="AS6" s="388"/>
      <c r="AT6" s="38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82"/>
      <c r="C7" s="282"/>
      <c r="D7" s="283"/>
      <c r="E7" s="383"/>
      <c r="F7" s="384"/>
      <c r="G7" s="384"/>
      <c r="H7" s="384"/>
      <c r="I7" s="399"/>
      <c r="J7" s="52" t="str">
        <f>IF(AND('Mapa final'!$AA$15="Muy Alta",'Mapa final'!$AC$15="Leve"),CONCATENATE("R2C",'Mapa final'!$Q$15),"")</f>
        <v/>
      </c>
      <c r="K7" s="53" t="str">
        <f>IF(AND('Mapa final'!$AA$16="Muy Alta",'Mapa final'!$AC$16="Leve"),CONCATENATE("R2C",'Mapa final'!$Q$16),"")</f>
        <v/>
      </c>
      <c r="L7" s="53" t="str">
        <f>IF(AND('Mapa final'!$AA$17="Muy Alta",'Mapa final'!$AC$17="Leve"),CONCATENATE("R2C",'Mapa final'!$Q$17),"")</f>
        <v/>
      </c>
      <c r="M7" s="53" t="str">
        <f>IF(AND('Mapa final'!$AA$18="Muy Alta",'Mapa final'!$AC$18="Leve"),CONCATENATE("R2C",'Mapa final'!$Q$18),"")</f>
        <v/>
      </c>
      <c r="N7" s="53" t="str">
        <f>IF(AND('Mapa final'!$AA$19="Muy Alta",'Mapa final'!$AC$19="Leve"),CONCATENATE("R2C",'Mapa final'!$Q$19),"")</f>
        <v/>
      </c>
      <c r="O7" s="54" t="str">
        <f>IF(AND('Mapa final'!$AA$20="Muy Alta",'Mapa final'!$AC$20="Leve"),CONCATENATE("R2C",'Mapa final'!$Q$20),"")</f>
        <v/>
      </c>
      <c r="P7" s="52" t="str">
        <f>IF(AND('Mapa final'!$AA$15="Muy Alta",'Mapa final'!$AC$15="Menor"),CONCATENATE("R2C",'Mapa final'!$Q$15),"")</f>
        <v/>
      </c>
      <c r="Q7" s="53" t="str">
        <f>IF(AND('Mapa final'!$AA$16="Muy Alta",'Mapa final'!$AC$16="Menor"),CONCATENATE("R2C",'Mapa final'!$Q$16),"")</f>
        <v/>
      </c>
      <c r="R7" s="53" t="str">
        <f>IF(AND('Mapa final'!$AA$17="Muy Alta",'Mapa final'!$AC$17="Menor"),CONCATENATE("R2C",'Mapa final'!$Q$17),"")</f>
        <v/>
      </c>
      <c r="S7" s="53" t="str">
        <f>IF(AND('Mapa final'!$AA$18="Muy Alta",'Mapa final'!$AC$18="Menor"),CONCATENATE("R2C",'Mapa final'!$Q$18),"")</f>
        <v/>
      </c>
      <c r="T7" s="53" t="str">
        <f>IF(AND('Mapa final'!$AA$19="Muy Alta",'Mapa final'!$AC$19="Menor"),CONCATENATE("R2C",'Mapa final'!$Q$19),"")</f>
        <v/>
      </c>
      <c r="U7" s="54" t="str">
        <f>IF(AND('Mapa final'!$AA$20="Muy Alta",'Mapa final'!$AC$20="Menor"),CONCATENATE("R2C",'Mapa final'!$Q$20),"")</f>
        <v/>
      </c>
      <c r="V7" s="52" t="str">
        <f>IF(AND('Mapa final'!$AA$15="Muy Alta",'Mapa final'!$AC$15="Moderado"),CONCATENATE("R2C",'Mapa final'!$Q$15),"")</f>
        <v/>
      </c>
      <c r="W7" s="53" t="str">
        <f>IF(AND('Mapa final'!$AA$16="Muy Alta",'Mapa final'!$AC$16="Moderado"),CONCATENATE("R2C",'Mapa final'!$Q$16),"")</f>
        <v/>
      </c>
      <c r="X7" s="53" t="str">
        <f>IF(AND('Mapa final'!$AA$17="Muy Alta",'Mapa final'!$AC$17="Moderado"),CONCATENATE("R2C",'Mapa final'!$Q$17),"")</f>
        <v/>
      </c>
      <c r="Y7" s="53" t="str">
        <f>IF(AND('Mapa final'!$AA$18="Muy Alta",'Mapa final'!$AC$18="Moderado"),CONCATENATE("R2C",'Mapa final'!$Q$18),"")</f>
        <v/>
      </c>
      <c r="Z7" s="53" t="str">
        <f>IF(AND('Mapa final'!$AA$19="Muy Alta",'Mapa final'!$AC$19="Moderado"),CONCATENATE("R2C",'Mapa final'!$Q$19),"")</f>
        <v/>
      </c>
      <c r="AA7" s="54" t="str">
        <f>IF(AND('Mapa final'!$AA$20="Muy Alta",'Mapa final'!$AC$20="Moderado"),CONCATENATE("R2C",'Mapa final'!$Q$20),"")</f>
        <v/>
      </c>
      <c r="AB7" s="52" t="str">
        <f>IF(AND('Mapa final'!$AA$15="Muy Alta",'Mapa final'!$AC$15="Mayor"),CONCATENATE("R2C",'Mapa final'!$Q$15),"")</f>
        <v/>
      </c>
      <c r="AC7" s="53" t="str">
        <f>IF(AND('Mapa final'!$AA$16="Muy Alta",'Mapa final'!$AC$16="Mayor"),CONCATENATE("R2C",'Mapa final'!$Q$16),"")</f>
        <v/>
      </c>
      <c r="AD7" s="53" t="str">
        <f>IF(AND('Mapa final'!$AA$17="Muy Alta",'Mapa final'!$AC$17="Mayor"),CONCATENATE("R2C",'Mapa final'!$Q$17),"")</f>
        <v/>
      </c>
      <c r="AE7" s="53" t="str">
        <f>IF(AND('Mapa final'!$AA$18="Muy Alta",'Mapa final'!$AC$18="Mayor"),CONCATENATE("R2C",'Mapa final'!$Q$18),"")</f>
        <v/>
      </c>
      <c r="AF7" s="53" t="str">
        <f>IF(AND('Mapa final'!$AA$19="Muy Alta",'Mapa final'!$AC$19="Mayor"),CONCATENATE("R2C",'Mapa final'!$Q$19),"")</f>
        <v/>
      </c>
      <c r="AG7" s="54" t="str">
        <f>IF(AND('Mapa final'!$AA$20="Muy Alta",'Mapa final'!$AC$20="Mayor"),CONCATENATE("R2C",'Mapa final'!$Q$20),"")</f>
        <v/>
      </c>
      <c r="AH7" s="55" t="str">
        <f>IF(AND('Mapa final'!$AA$15="Muy Alta",'Mapa final'!$AC$15="Catastrófico"),CONCATENATE("R2C",'Mapa final'!$Q$15),"")</f>
        <v/>
      </c>
      <c r="AI7" s="56" t="str">
        <f>IF(AND('Mapa final'!$AA$16="Muy Alta",'Mapa final'!$AC$16="Catastrófico"),CONCATENATE("R2C",'Mapa final'!$Q$16),"")</f>
        <v/>
      </c>
      <c r="AJ7" s="56" t="str">
        <f>IF(AND('Mapa final'!$AA$17="Muy Alta",'Mapa final'!$AC$17="Catastrófico"),CONCATENATE("R2C",'Mapa final'!$Q$17),"")</f>
        <v/>
      </c>
      <c r="AK7" s="56" t="str">
        <f>IF(AND('Mapa final'!$AA$18="Muy Alta",'Mapa final'!$AC$18="Catastrófico"),CONCATENATE("R2C",'Mapa final'!$Q$18),"")</f>
        <v/>
      </c>
      <c r="AL7" s="56" t="str">
        <f>IF(AND('Mapa final'!$AA$19="Muy Alta",'Mapa final'!$AC$19="Catastrófico"),CONCATENATE("R2C",'Mapa final'!$Q$19),"")</f>
        <v/>
      </c>
      <c r="AM7" s="57" t="str">
        <f>IF(AND('Mapa final'!$AA$20="Muy Alta",'Mapa final'!$AC$20="Catastrófico"),CONCATENATE("R2C",'Mapa final'!$Q$20),"")</f>
        <v/>
      </c>
      <c r="AN7" s="84"/>
      <c r="AO7" s="390"/>
      <c r="AP7" s="391"/>
      <c r="AQ7" s="391"/>
      <c r="AR7" s="391"/>
      <c r="AS7" s="391"/>
      <c r="AT7" s="39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82"/>
      <c r="C8" s="282"/>
      <c r="D8" s="283"/>
      <c r="E8" s="383"/>
      <c r="F8" s="384"/>
      <c r="G8" s="384"/>
      <c r="H8" s="384"/>
      <c r="I8" s="399"/>
      <c r="J8" s="52" t="str">
        <f>IF(AND('Mapa final'!$AA$21="Muy Alta",'Mapa final'!$AC$21="Leve"),CONCATENATE("R3C",'Mapa final'!$Q$21),"")</f>
        <v/>
      </c>
      <c r="K8" s="53" t="str">
        <f>IF(AND('Mapa final'!$AA$22="Muy Alta",'Mapa final'!$AC$22="Leve"),CONCATENATE("R3C",'Mapa final'!$Q$22),"")</f>
        <v/>
      </c>
      <c r="L8" s="53" t="str">
        <f>IF(AND('Mapa final'!$AA$23="Muy Alta",'Mapa final'!$AC$23="Leve"),CONCATENATE("R3C",'Mapa final'!$Q$23),"")</f>
        <v/>
      </c>
      <c r="M8" s="53" t="str">
        <f>IF(AND('Mapa final'!$AA$24="Muy Alta",'Mapa final'!$AC$24="Leve"),CONCATENATE("R3C",'Mapa final'!$Q$24),"")</f>
        <v/>
      </c>
      <c r="N8" s="53" t="str">
        <f>IF(AND('Mapa final'!$AA$25="Muy Alta",'Mapa final'!$AC$25="Leve"),CONCATENATE("R3C",'Mapa final'!$Q$25),"")</f>
        <v/>
      </c>
      <c r="O8" s="54" t="str">
        <f>IF(AND('Mapa final'!$AA$26="Muy Alta",'Mapa final'!$AC$26="Leve"),CONCATENATE("R3C",'Mapa final'!$Q$26),"")</f>
        <v/>
      </c>
      <c r="P8" s="52" t="str">
        <f>IF(AND('Mapa final'!$AA$21="Muy Alta",'Mapa final'!$AC$21="Menor"),CONCATENATE("R3C",'Mapa final'!$Q$21),"")</f>
        <v/>
      </c>
      <c r="Q8" s="53" t="str">
        <f>IF(AND('Mapa final'!$AA$22="Muy Alta",'Mapa final'!$AC$22="Menor"),CONCATENATE("R3C",'Mapa final'!$Q$22),"")</f>
        <v/>
      </c>
      <c r="R8" s="53" t="str">
        <f>IF(AND('Mapa final'!$AA$23="Muy Alta",'Mapa final'!$AC$23="Menor"),CONCATENATE("R3C",'Mapa final'!$Q$23),"")</f>
        <v/>
      </c>
      <c r="S8" s="53" t="str">
        <f>IF(AND('Mapa final'!$AA$24="Muy Alta",'Mapa final'!$AC$24="Menor"),CONCATENATE("R3C",'Mapa final'!$Q$24),"")</f>
        <v/>
      </c>
      <c r="T8" s="53" t="str">
        <f>IF(AND('Mapa final'!$AA$25="Muy Alta",'Mapa final'!$AC$25="Menor"),CONCATENATE("R3C",'Mapa final'!$Q$25),"")</f>
        <v/>
      </c>
      <c r="U8" s="54" t="str">
        <f>IF(AND('Mapa final'!$AA$26="Muy Alta",'Mapa final'!$AC$26="Menor"),CONCATENATE("R3C",'Mapa final'!$Q$26),"")</f>
        <v/>
      </c>
      <c r="V8" s="52" t="str">
        <f>IF(AND('Mapa final'!$AA$21="Muy Alta",'Mapa final'!$AC$21="Moderado"),CONCATENATE("R3C",'Mapa final'!$Q$21),"")</f>
        <v/>
      </c>
      <c r="W8" s="53" t="str">
        <f>IF(AND('Mapa final'!$AA$22="Muy Alta",'Mapa final'!$AC$22="Moderado"),CONCATENATE("R3C",'Mapa final'!$Q$22),"")</f>
        <v/>
      </c>
      <c r="X8" s="53" t="str">
        <f>IF(AND('Mapa final'!$AA$23="Muy Alta",'Mapa final'!$AC$23="Moderado"),CONCATENATE("R3C",'Mapa final'!$Q$23),"")</f>
        <v/>
      </c>
      <c r="Y8" s="53" t="str">
        <f>IF(AND('Mapa final'!$AA$24="Muy Alta",'Mapa final'!$AC$24="Moderado"),CONCATENATE("R3C",'Mapa final'!$Q$24),"")</f>
        <v/>
      </c>
      <c r="Z8" s="53" t="str">
        <f>IF(AND('Mapa final'!$AA$25="Muy Alta",'Mapa final'!$AC$25="Moderado"),CONCATENATE("R3C",'Mapa final'!$Q$25),"")</f>
        <v/>
      </c>
      <c r="AA8" s="54" t="str">
        <f>IF(AND('Mapa final'!$AA$26="Muy Alta",'Mapa final'!$AC$26="Moderado"),CONCATENATE("R3C",'Mapa final'!$Q$26),"")</f>
        <v/>
      </c>
      <c r="AB8" s="52" t="str">
        <f>IF(AND('Mapa final'!$AA$21="Muy Alta",'Mapa final'!$AC$21="Mayor"),CONCATENATE("R3C",'Mapa final'!$Q$21),"")</f>
        <v/>
      </c>
      <c r="AC8" s="53" t="str">
        <f>IF(AND('Mapa final'!$AA$22="Muy Alta",'Mapa final'!$AC$22="Mayor"),CONCATENATE("R3C",'Mapa final'!$Q$22),"")</f>
        <v/>
      </c>
      <c r="AD8" s="53" t="str">
        <f>IF(AND('Mapa final'!$AA$23="Muy Alta",'Mapa final'!$AC$23="Mayor"),CONCATENATE("R3C",'Mapa final'!$Q$23),"")</f>
        <v/>
      </c>
      <c r="AE8" s="53" t="str">
        <f>IF(AND('Mapa final'!$AA$24="Muy Alta",'Mapa final'!$AC$24="Mayor"),CONCATENATE("R3C",'Mapa final'!$Q$24),"")</f>
        <v/>
      </c>
      <c r="AF8" s="53" t="str">
        <f>IF(AND('Mapa final'!$AA$25="Muy Alta",'Mapa final'!$AC$25="Mayor"),CONCATENATE("R3C",'Mapa final'!$Q$25),"")</f>
        <v/>
      </c>
      <c r="AG8" s="54" t="str">
        <f>IF(AND('Mapa final'!$AA$26="Muy Alta",'Mapa final'!$AC$26="Mayor"),CONCATENATE("R3C",'Mapa final'!$Q$26),"")</f>
        <v/>
      </c>
      <c r="AH8" s="55" t="str">
        <f>IF(AND('Mapa final'!$AA$21="Muy Alta",'Mapa final'!$AC$21="Catastrófico"),CONCATENATE("R3C",'Mapa final'!$Q$21),"")</f>
        <v/>
      </c>
      <c r="AI8" s="56" t="str">
        <f>IF(AND('Mapa final'!$AA$22="Muy Alta",'Mapa final'!$AC$22="Catastrófico"),CONCATENATE("R3C",'Mapa final'!$Q$22),"")</f>
        <v/>
      </c>
      <c r="AJ8" s="56" t="str">
        <f>IF(AND('Mapa final'!$AA$23="Muy Alta",'Mapa final'!$AC$23="Catastrófico"),CONCATENATE("R3C",'Mapa final'!$Q$23),"")</f>
        <v/>
      </c>
      <c r="AK8" s="56" t="str">
        <f>IF(AND('Mapa final'!$AA$24="Muy Alta",'Mapa final'!$AC$24="Catastrófico"),CONCATENATE("R3C",'Mapa final'!$Q$24),"")</f>
        <v/>
      </c>
      <c r="AL8" s="56" t="str">
        <f>IF(AND('Mapa final'!$AA$25="Muy Alta",'Mapa final'!$AC$25="Catastrófico"),CONCATENATE("R3C",'Mapa final'!$Q$25),"")</f>
        <v/>
      </c>
      <c r="AM8" s="57" t="str">
        <f>IF(AND('Mapa final'!$AA$26="Muy Alta",'Mapa final'!$AC$26="Catastrófico"),CONCATENATE("R3C",'Mapa final'!$Q$26),"")</f>
        <v/>
      </c>
      <c r="AN8" s="84"/>
      <c r="AO8" s="390"/>
      <c r="AP8" s="391"/>
      <c r="AQ8" s="391"/>
      <c r="AR8" s="391"/>
      <c r="AS8" s="391"/>
      <c r="AT8" s="39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82"/>
      <c r="C9" s="282"/>
      <c r="D9" s="283"/>
      <c r="E9" s="383"/>
      <c r="F9" s="384"/>
      <c r="G9" s="384"/>
      <c r="H9" s="384"/>
      <c r="I9" s="399"/>
      <c r="J9" s="52" t="str">
        <f>IF(AND('Mapa final'!$AA$27="Muy Alta",'Mapa final'!$AC$27="Leve"),CONCATENATE("R4C",'Mapa final'!$Q$27),"")</f>
        <v/>
      </c>
      <c r="K9" s="53" t="str">
        <f>IF(AND('Mapa final'!$AA$28="Muy Alta",'Mapa final'!$AC$28="Leve"),CONCATENATE("R4C",'Mapa final'!$Q$28),"")</f>
        <v/>
      </c>
      <c r="L9" s="58" t="str">
        <f>IF(AND('Mapa final'!$AA$29="Muy Alta",'Mapa final'!$AC$29="Leve"),CONCATENATE("R4C",'Mapa final'!$Q$29),"")</f>
        <v/>
      </c>
      <c r="M9" s="58" t="str">
        <f>IF(AND('Mapa final'!$AA$30="Muy Alta",'Mapa final'!$AC$30="Leve"),CONCATENATE("R4C",'Mapa final'!$Q$30),"")</f>
        <v/>
      </c>
      <c r="N9" s="58" t="str">
        <f>IF(AND('Mapa final'!$AA$31="Muy Alta",'Mapa final'!$AC$31="Leve"),CONCATENATE("R4C",'Mapa final'!$Q$31),"")</f>
        <v/>
      </c>
      <c r="O9" s="54" t="str">
        <f>IF(AND('Mapa final'!$AA$32="Muy Alta",'Mapa final'!$AC$32="Leve"),CONCATENATE("R4C",'Mapa final'!$Q$32),"")</f>
        <v/>
      </c>
      <c r="P9" s="52" t="str">
        <f>IF(AND('Mapa final'!$AA$27="Muy Alta",'Mapa final'!$AC$27="Menor"),CONCATENATE("R4C",'Mapa final'!$Q$27),"")</f>
        <v/>
      </c>
      <c r="Q9" s="53" t="str">
        <f>IF(AND('Mapa final'!$AA$28="Muy Alta",'Mapa final'!$AC$28="Menor"),CONCATENATE("R4C",'Mapa final'!$Q$28),"")</f>
        <v/>
      </c>
      <c r="R9" s="58" t="str">
        <f>IF(AND('Mapa final'!$AA$29="Muy Alta",'Mapa final'!$AC$29="Menor"),CONCATENATE("R4C",'Mapa final'!$Q$29),"")</f>
        <v/>
      </c>
      <c r="S9" s="58" t="str">
        <f>IF(AND('Mapa final'!$AA$30="Muy Alta",'Mapa final'!$AC$30="Menor"),CONCATENATE("R4C",'Mapa final'!$Q$30),"")</f>
        <v/>
      </c>
      <c r="T9" s="58" t="str">
        <f>IF(AND('Mapa final'!$AA$31="Muy Alta",'Mapa final'!$AC$31="Menor"),CONCATENATE("R4C",'Mapa final'!$Q$31),"")</f>
        <v/>
      </c>
      <c r="U9" s="54" t="str">
        <f>IF(AND('Mapa final'!$AA$32="Muy Alta",'Mapa final'!$AC$32="Menor"),CONCATENATE("R4C",'Mapa final'!$Q$32),"")</f>
        <v/>
      </c>
      <c r="V9" s="52" t="str">
        <f>IF(AND('Mapa final'!$AA$27="Muy Alta",'Mapa final'!$AC$27="Moderado"),CONCATENATE("R4C",'Mapa final'!$Q$27),"")</f>
        <v/>
      </c>
      <c r="W9" s="53" t="str">
        <f>IF(AND('Mapa final'!$AA$28="Muy Alta",'Mapa final'!$AC$28="Moderado"),CONCATENATE("R4C",'Mapa final'!$Q$28),"")</f>
        <v/>
      </c>
      <c r="X9" s="58" t="str">
        <f>IF(AND('Mapa final'!$AA$29="Muy Alta",'Mapa final'!$AC$29="Moderado"),CONCATENATE("R4C",'Mapa final'!$Q$29),"")</f>
        <v/>
      </c>
      <c r="Y9" s="58" t="str">
        <f>IF(AND('Mapa final'!$AA$30="Muy Alta",'Mapa final'!$AC$30="Moderado"),CONCATENATE("R4C",'Mapa final'!$Q$30),"")</f>
        <v/>
      </c>
      <c r="Z9" s="58" t="str">
        <f>IF(AND('Mapa final'!$AA$31="Muy Alta",'Mapa final'!$AC$31="Moderado"),CONCATENATE("R4C",'Mapa final'!$Q$31),"")</f>
        <v/>
      </c>
      <c r="AA9" s="54" t="str">
        <f>IF(AND('Mapa final'!$AA$32="Muy Alta",'Mapa final'!$AC$32="Moderado"),CONCATENATE("R4C",'Mapa final'!$Q$32),"")</f>
        <v/>
      </c>
      <c r="AB9" s="52" t="str">
        <f>IF(AND('Mapa final'!$AA$27="Muy Alta",'Mapa final'!$AC$27="Mayor"),CONCATENATE("R4C",'Mapa final'!$Q$27),"")</f>
        <v/>
      </c>
      <c r="AC9" s="53" t="str">
        <f>IF(AND('Mapa final'!$AA$28="Muy Alta",'Mapa final'!$AC$28="Mayor"),CONCATENATE("R4C",'Mapa final'!$Q$28),"")</f>
        <v/>
      </c>
      <c r="AD9" s="58" t="str">
        <f>IF(AND('Mapa final'!$AA$29="Muy Alta",'Mapa final'!$AC$29="Mayor"),CONCATENATE("R4C",'Mapa final'!$Q$29),"")</f>
        <v/>
      </c>
      <c r="AE9" s="58" t="str">
        <f>IF(AND('Mapa final'!$AA$30="Muy Alta",'Mapa final'!$AC$30="Mayor"),CONCATENATE("R4C",'Mapa final'!$Q$30),"")</f>
        <v/>
      </c>
      <c r="AF9" s="58" t="str">
        <f>IF(AND('Mapa final'!$AA$31="Muy Alta",'Mapa final'!$AC$31="Mayor"),CONCATENATE("R4C",'Mapa final'!$Q$31),"")</f>
        <v/>
      </c>
      <c r="AG9" s="54" t="str">
        <f>IF(AND('Mapa final'!$AA$32="Muy Alta",'Mapa final'!$AC$32="Mayor"),CONCATENATE("R4C",'Mapa final'!$Q$32),"")</f>
        <v/>
      </c>
      <c r="AH9" s="55" t="str">
        <f>IF(AND('Mapa final'!$AA$27="Muy Alta",'Mapa final'!$AC$27="Catastrófico"),CONCATENATE("R4C",'Mapa final'!$Q$27),"")</f>
        <v/>
      </c>
      <c r="AI9" s="56" t="str">
        <f>IF(AND('Mapa final'!$AA$28="Muy Alta",'Mapa final'!$AC$28="Catastrófico"),CONCATENATE("R4C",'Mapa final'!$Q$28),"")</f>
        <v/>
      </c>
      <c r="AJ9" s="56" t="str">
        <f>IF(AND('Mapa final'!$AA$29="Muy Alta",'Mapa final'!$AC$29="Catastrófico"),CONCATENATE("R4C",'Mapa final'!$Q$29),"")</f>
        <v/>
      </c>
      <c r="AK9" s="56" t="str">
        <f>IF(AND('Mapa final'!$AA$30="Muy Alta",'Mapa final'!$AC$30="Catastrófico"),CONCATENATE("R4C",'Mapa final'!$Q$30),"")</f>
        <v/>
      </c>
      <c r="AL9" s="56" t="str">
        <f>IF(AND('Mapa final'!$AA$31="Muy Alta",'Mapa final'!$AC$31="Catastrófico"),CONCATENATE("R4C",'Mapa final'!$Q$31),"")</f>
        <v/>
      </c>
      <c r="AM9" s="57" t="str">
        <f>IF(AND('Mapa final'!$AA$32="Muy Alta",'Mapa final'!$AC$32="Catastrófico"),CONCATENATE("R4C",'Mapa final'!$Q$32),"")</f>
        <v/>
      </c>
      <c r="AN9" s="84"/>
      <c r="AO9" s="390"/>
      <c r="AP9" s="391"/>
      <c r="AQ9" s="391"/>
      <c r="AR9" s="391"/>
      <c r="AS9" s="391"/>
      <c r="AT9" s="39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82"/>
      <c r="C10" s="282"/>
      <c r="D10" s="283"/>
      <c r="E10" s="383"/>
      <c r="F10" s="384"/>
      <c r="G10" s="384"/>
      <c r="H10" s="384"/>
      <c r="I10" s="399"/>
      <c r="J10" s="52" t="str">
        <f>IF(AND('Mapa final'!$AA$33="Muy Alta",'Mapa final'!$AC$33="Leve"),CONCATENATE("R5C",'Mapa final'!$Q$33),"")</f>
        <v/>
      </c>
      <c r="K10" s="53" t="str">
        <f>IF(AND('Mapa final'!$AA$34="Muy Alta",'Mapa final'!$AC$34="Leve"),CONCATENATE("R5C",'Mapa final'!$Q$34),"")</f>
        <v/>
      </c>
      <c r="L10" s="58" t="str">
        <f>IF(AND('Mapa final'!$AA$35="Muy Alta",'Mapa final'!$AC$35="Leve"),CONCATENATE("R5C",'Mapa final'!$Q$35),"")</f>
        <v/>
      </c>
      <c r="M10" s="58" t="str">
        <f>IF(AND('Mapa final'!$AA$36="Muy Alta",'Mapa final'!$AC$36="Leve"),CONCATENATE("R5C",'Mapa final'!$Q$36),"")</f>
        <v/>
      </c>
      <c r="N10" s="58" t="str">
        <f>IF(AND('Mapa final'!$AA$37="Muy Alta",'Mapa final'!$AC$37="Leve"),CONCATENATE("R5C",'Mapa final'!$Q$37),"")</f>
        <v/>
      </c>
      <c r="O10" s="54" t="str">
        <f>IF(AND('Mapa final'!$AA$38="Muy Alta",'Mapa final'!$AC$38="Leve"),CONCATENATE("R5C",'Mapa final'!$Q$38),"")</f>
        <v/>
      </c>
      <c r="P10" s="52" t="str">
        <f>IF(AND('Mapa final'!$AA$33="Muy Alta",'Mapa final'!$AC$33="Menor"),CONCATENATE("R5C",'Mapa final'!$Q$33),"")</f>
        <v/>
      </c>
      <c r="Q10" s="53" t="str">
        <f>IF(AND('Mapa final'!$AA$34="Muy Alta",'Mapa final'!$AC$34="Menor"),CONCATENATE("R5C",'Mapa final'!$Q$34),"")</f>
        <v/>
      </c>
      <c r="R10" s="58" t="str">
        <f>IF(AND('Mapa final'!$AA$35="Muy Alta",'Mapa final'!$AC$35="Menor"),CONCATENATE("R5C",'Mapa final'!$Q$35),"")</f>
        <v/>
      </c>
      <c r="S10" s="58" t="str">
        <f>IF(AND('Mapa final'!$AA$36="Muy Alta",'Mapa final'!$AC$36="Menor"),CONCATENATE("R5C",'Mapa final'!$Q$36),"")</f>
        <v/>
      </c>
      <c r="T10" s="58" t="str">
        <f>IF(AND('Mapa final'!$AA$37="Muy Alta",'Mapa final'!$AC$37="Menor"),CONCATENATE("R5C",'Mapa final'!$Q$37),"")</f>
        <v/>
      </c>
      <c r="U10" s="54" t="str">
        <f>IF(AND('Mapa final'!$AA$38="Muy Alta",'Mapa final'!$AC$38="Menor"),CONCATENATE("R5C",'Mapa final'!$Q$38),"")</f>
        <v/>
      </c>
      <c r="V10" s="52" t="str">
        <f>IF(AND('Mapa final'!$AA$33="Muy Alta",'Mapa final'!$AC$33="Moderado"),CONCATENATE("R5C",'Mapa final'!$Q$33),"")</f>
        <v/>
      </c>
      <c r="W10" s="53" t="str">
        <f>IF(AND('Mapa final'!$AA$34="Muy Alta",'Mapa final'!$AC$34="Moderado"),CONCATENATE("R5C",'Mapa final'!$Q$34),"")</f>
        <v/>
      </c>
      <c r="X10" s="58" t="str">
        <f>IF(AND('Mapa final'!$AA$35="Muy Alta",'Mapa final'!$AC$35="Moderado"),CONCATENATE("R5C",'Mapa final'!$Q$35),"")</f>
        <v/>
      </c>
      <c r="Y10" s="58" t="str">
        <f>IF(AND('Mapa final'!$AA$36="Muy Alta",'Mapa final'!$AC$36="Moderado"),CONCATENATE("R5C",'Mapa final'!$Q$36),"")</f>
        <v/>
      </c>
      <c r="Z10" s="58" t="str">
        <f>IF(AND('Mapa final'!$AA$37="Muy Alta",'Mapa final'!$AC$37="Moderado"),CONCATENATE("R5C",'Mapa final'!$Q$37),"")</f>
        <v/>
      </c>
      <c r="AA10" s="54" t="str">
        <f>IF(AND('Mapa final'!$AA$38="Muy Alta",'Mapa final'!$AC$38="Moderado"),CONCATENATE("R5C",'Mapa final'!$Q$38),"")</f>
        <v/>
      </c>
      <c r="AB10" s="52" t="str">
        <f>IF(AND('Mapa final'!$AA$33="Muy Alta",'Mapa final'!$AC$33="Mayor"),CONCATENATE("R5C",'Mapa final'!$Q$33),"")</f>
        <v/>
      </c>
      <c r="AC10" s="53" t="str">
        <f>IF(AND('Mapa final'!$AA$34="Muy Alta",'Mapa final'!$AC$34="Mayor"),CONCATENATE("R5C",'Mapa final'!$Q$34),"")</f>
        <v/>
      </c>
      <c r="AD10" s="58" t="str">
        <f>IF(AND('Mapa final'!$AA$35="Muy Alta",'Mapa final'!$AC$35="Mayor"),CONCATENATE("R5C",'Mapa final'!$Q$35),"")</f>
        <v/>
      </c>
      <c r="AE10" s="58" t="str">
        <f>IF(AND('Mapa final'!$AA$36="Muy Alta",'Mapa final'!$AC$36="Mayor"),CONCATENATE("R5C",'Mapa final'!$Q$36),"")</f>
        <v/>
      </c>
      <c r="AF10" s="58" t="str">
        <f>IF(AND('Mapa final'!$AA$37="Muy Alta",'Mapa final'!$AC$37="Mayor"),CONCATENATE("R5C",'Mapa final'!$Q$37),"")</f>
        <v/>
      </c>
      <c r="AG10" s="54" t="str">
        <f>IF(AND('Mapa final'!$AA$38="Muy Alta",'Mapa final'!$AC$38="Mayor"),CONCATENATE("R5C",'Mapa final'!$Q$38),"")</f>
        <v/>
      </c>
      <c r="AH10" s="55" t="str">
        <f>IF(AND('Mapa final'!$AA$33="Muy Alta",'Mapa final'!$AC$33="Catastrófico"),CONCATENATE("R5C",'Mapa final'!$Q$33),"")</f>
        <v/>
      </c>
      <c r="AI10" s="56" t="str">
        <f>IF(AND('Mapa final'!$AA$34="Muy Alta",'Mapa final'!$AC$34="Catastrófico"),CONCATENATE("R5C",'Mapa final'!$Q$34),"")</f>
        <v/>
      </c>
      <c r="AJ10" s="56" t="str">
        <f>IF(AND('Mapa final'!$AA$35="Muy Alta",'Mapa final'!$AC$35="Catastrófico"),CONCATENATE("R5C",'Mapa final'!$Q$35),"")</f>
        <v/>
      </c>
      <c r="AK10" s="56" t="str">
        <f>IF(AND('Mapa final'!$AA$36="Muy Alta",'Mapa final'!$AC$36="Catastrófico"),CONCATENATE("R5C",'Mapa final'!$Q$36),"")</f>
        <v/>
      </c>
      <c r="AL10" s="56" t="str">
        <f>IF(AND('Mapa final'!$AA$37="Muy Alta",'Mapa final'!$AC$37="Catastrófico"),CONCATENATE("R5C",'Mapa final'!$Q$37),"")</f>
        <v/>
      </c>
      <c r="AM10" s="57" t="str">
        <f>IF(AND('Mapa final'!$AA$38="Muy Alta",'Mapa final'!$AC$38="Catastrófico"),CONCATENATE("R5C",'Mapa final'!$Q$38),"")</f>
        <v/>
      </c>
      <c r="AN10" s="84"/>
      <c r="AO10" s="390"/>
      <c r="AP10" s="391"/>
      <c r="AQ10" s="391"/>
      <c r="AR10" s="391"/>
      <c r="AS10" s="391"/>
      <c r="AT10" s="39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82"/>
      <c r="C11" s="282"/>
      <c r="D11" s="283"/>
      <c r="E11" s="383"/>
      <c r="F11" s="384"/>
      <c r="G11" s="384"/>
      <c r="H11" s="384"/>
      <c r="I11" s="399"/>
      <c r="J11" s="52" t="str">
        <f>IF(AND('Mapa final'!$AA$39="Muy Alta",'Mapa final'!$AC$39="Leve"),CONCATENATE("R6C",'Mapa final'!$Q$39),"")</f>
        <v/>
      </c>
      <c r="K11" s="53" t="str">
        <f>IF(AND('Mapa final'!$AA$40="Muy Alta",'Mapa final'!$AC$40="Leve"),CONCATENATE("R6C",'Mapa final'!$Q$40),"")</f>
        <v/>
      </c>
      <c r="L11" s="58" t="str">
        <f>IF(AND('Mapa final'!$AA$41="Muy Alta",'Mapa final'!$AC$41="Leve"),CONCATENATE("R6C",'Mapa final'!$Q$41),"")</f>
        <v/>
      </c>
      <c r="M11" s="58" t="str">
        <f>IF(AND('Mapa final'!$AA$42="Muy Alta",'Mapa final'!$AC$42="Leve"),CONCATENATE("R6C",'Mapa final'!$Q$42),"")</f>
        <v/>
      </c>
      <c r="N11" s="58" t="str">
        <f>IF(AND('Mapa final'!$AA$43="Muy Alta",'Mapa final'!$AC$43="Leve"),CONCATENATE("R6C",'Mapa final'!$Q$43),"")</f>
        <v/>
      </c>
      <c r="O11" s="54" t="str">
        <f>IF(AND('Mapa final'!$AA$44="Muy Alta",'Mapa final'!$AC$44="Leve"),CONCATENATE("R6C",'Mapa final'!$Q$44),"")</f>
        <v/>
      </c>
      <c r="P11" s="52" t="str">
        <f>IF(AND('Mapa final'!$AA$39="Muy Alta",'Mapa final'!$AC$39="Menor"),CONCATENATE("R6C",'Mapa final'!$Q$39),"")</f>
        <v/>
      </c>
      <c r="Q11" s="53" t="str">
        <f>IF(AND('Mapa final'!$AA$40="Muy Alta",'Mapa final'!$AC$40="Menor"),CONCATENATE("R6C",'Mapa final'!$Q$40),"")</f>
        <v/>
      </c>
      <c r="R11" s="58" t="str">
        <f>IF(AND('Mapa final'!$AA$41="Muy Alta",'Mapa final'!$AC$41="Menor"),CONCATENATE("R6C",'Mapa final'!$Q$41),"")</f>
        <v/>
      </c>
      <c r="S11" s="58" t="str">
        <f>IF(AND('Mapa final'!$AA$42="Muy Alta",'Mapa final'!$AC$42="Menor"),CONCATENATE("R6C",'Mapa final'!$Q$42),"")</f>
        <v/>
      </c>
      <c r="T11" s="58" t="str">
        <f>IF(AND('Mapa final'!$AA$43="Muy Alta",'Mapa final'!$AC$43="Menor"),CONCATENATE("R6C",'Mapa final'!$Q$43),"")</f>
        <v/>
      </c>
      <c r="U11" s="54" t="str">
        <f>IF(AND('Mapa final'!$AA$44="Muy Alta",'Mapa final'!$AC$44="Menor"),CONCATENATE("R6C",'Mapa final'!$Q$44),"")</f>
        <v/>
      </c>
      <c r="V11" s="52" t="str">
        <f>IF(AND('Mapa final'!$AA$39="Muy Alta",'Mapa final'!$AC$39="Moderado"),CONCATENATE("R6C",'Mapa final'!$Q$39),"")</f>
        <v/>
      </c>
      <c r="W11" s="53" t="str">
        <f>IF(AND('Mapa final'!$AA$40="Muy Alta",'Mapa final'!$AC$40="Moderado"),CONCATENATE("R6C",'Mapa final'!$Q$40),"")</f>
        <v/>
      </c>
      <c r="X11" s="58" t="str">
        <f>IF(AND('Mapa final'!$AA$41="Muy Alta",'Mapa final'!$AC$41="Moderado"),CONCATENATE("R6C",'Mapa final'!$Q$41),"")</f>
        <v/>
      </c>
      <c r="Y11" s="58" t="str">
        <f>IF(AND('Mapa final'!$AA$42="Muy Alta",'Mapa final'!$AC$42="Moderado"),CONCATENATE("R6C",'Mapa final'!$Q$42),"")</f>
        <v/>
      </c>
      <c r="Z11" s="58" t="str">
        <f>IF(AND('Mapa final'!$AA$43="Muy Alta",'Mapa final'!$AC$43="Moderado"),CONCATENATE("R6C",'Mapa final'!$Q$43),"")</f>
        <v/>
      </c>
      <c r="AA11" s="54" t="str">
        <f>IF(AND('Mapa final'!$AA$44="Muy Alta",'Mapa final'!$AC$44="Moderado"),CONCATENATE("R6C",'Mapa final'!$Q$44),"")</f>
        <v/>
      </c>
      <c r="AB11" s="52" t="str">
        <f>IF(AND('Mapa final'!$AA$39="Muy Alta",'Mapa final'!$AC$39="Mayor"),CONCATENATE("R6C",'Mapa final'!$Q$39),"")</f>
        <v/>
      </c>
      <c r="AC11" s="53" t="str">
        <f>IF(AND('Mapa final'!$AA$40="Muy Alta",'Mapa final'!$AC$40="Mayor"),CONCATENATE("R6C",'Mapa final'!$Q$40),"")</f>
        <v/>
      </c>
      <c r="AD11" s="58" t="str">
        <f>IF(AND('Mapa final'!$AA$41="Muy Alta",'Mapa final'!$AC$41="Mayor"),CONCATENATE("R6C",'Mapa final'!$Q$41),"")</f>
        <v/>
      </c>
      <c r="AE11" s="58" t="str">
        <f>IF(AND('Mapa final'!$AA$42="Muy Alta",'Mapa final'!$AC$42="Mayor"),CONCATENATE("R6C",'Mapa final'!$Q$42),"")</f>
        <v/>
      </c>
      <c r="AF11" s="58" t="str">
        <f>IF(AND('Mapa final'!$AA$43="Muy Alta",'Mapa final'!$AC$43="Mayor"),CONCATENATE("R6C",'Mapa final'!$Q$43),"")</f>
        <v/>
      </c>
      <c r="AG11" s="54" t="str">
        <f>IF(AND('Mapa final'!$AA$44="Muy Alta",'Mapa final'!$AC$44="Mayor"),CONCATENATE("R6C",'Mapa final'!$Q$44),"")</f>
        <v/>
      </c>
      <c r="AH11" s="55" t="str">
        <f>IF(AND('Mapa final'!$AA$39="Muy Alta",'Mapa final'!$AC$39="Catastrófico"),CONCATENATE("R6C",'Mapa final'!$Q$39),"")</f>
        <v/>
      </c>
      <c r="AI11" s="56" t="str">
        <f>IF(AND('Mapa final'!$AA$40="Muy Alta",'Mapa final'!$AC$40="Catastrófico"),CONCATENATE("R6C",'Mapa final'!$Q$40),"")</f>
        <v/>
      </c>
      <c r="AJ11" s="56" t="str">
        <f>IF(AND('Mapa final'!$AA$41="Muy Alta",'Mapa final'!$AC$41="Catastrófico"),CONCATENATE("R6C",'Mapa final'!$Q$41),"")</f>
        <v/>
      </c>
      <c r="AK11" s="56" t="str">
        <f>IF(AND('Mapa final'!$AA$42="Muy Alta",'Mapa final'!$AC$42="Catastrófico"),CONCATENATE("R6C",'Mapa final'!$Q$42),"")</f>
        <v/>
      </c>
      <c r="AL11" s="56" t="str">
        <f>IF(AND('Mapa final'!$AA$43="Muy Alta",'Mapa final'!$AC$43="Catastrófico"),CONCATENATE("R6C",'Mapa final'!$Q$43),"")</f>
        <v/>
      </c>
      <c r="AM11" s="57" t="str">
        <f>IF(AND('Mapa final'!$AA$44="Muy Alta",'Mapa final'!$AC$44="Catastrófico"),CONCATENATE("R6C",'Mapa final'!$Q$44),"")</f>
        <v/>
      </c>
      <c r="AN11" s="84"/>
      <c r="AO11" s="390"/>
      <c r="AP11" s="391"/>
      <c r="AQ11" s="391"/>
      <c r="AR11" s="391"/>
      <c r="AS11" s="391"/>
      <c r="AT11" s="39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82"/>
      <c r="C12" s="282"/>
      <c r="D12" s="283"/>
      <c r="E12" s="383"/>
      <c r="F12" s="384"/>
      <c r="G12" s="384"/>
      <c r="H12" s="384"/>
      <c r="I12" s="399"/>
      <c r="J12" s="52" t="str">
        <f>IF(AND('Mapa final'!$AA$45="Muy Alta",'Mapa final'!$AC$45="Leve"),CONCATENATE("R7C",'Mapa final'!$Q$45),"")</f>
        <v/>
      </c>
      <c r="K12" s="53" t="str">
        <f>IF(AND('Mapa final'!$AA$46="Muy Alta",'Mapa final'!$AC$46="Leve"),CONCATENATE("R7C",'Mapa final'!$Q$46),"")</f>
        <v/>
      </c>
      <c r="L12" s="58" t="str">
        <f>IF(AND('Mapa final'!$AA$47="Muy Alta",'Mapa final'!$AC$47="Leve"),CONCATENATE("R7C",'Mapa final'!$Q$47),"")</f>
        <v/>
      </c>
      <c r="M12" s="58" t="str">
        <f>IF(AND('Mapa final'!$AA$48="Muy Alta",'Mapa final'!$AC$48="Leve"),CONCATENATE("R7C",'Mapa final'!$Q$48),"")</f>
        <v/>
      </c>
      <c r="N12" s="58" t="str">
        <f>IF(AND('Mapa final'!$AA$49="Muy Alta",'Mapa final'!$AC$49="Leve"),CONCATENATE("R7C",'Mapa final'!$Q$49),"")</f>
        <v/>
      </c>
      <c r="O12" s="54" t="str">
        <f>IF(AND('Mapa final'!$AA$50="Muy Alta",'Mapa final'!$AC$50="Leve"),CONCATENATE("R7C",'Mapa final'!$Q$50),"")</f>
        <v/>
      </c>
      <c r="P12" s="52" t="str">
        <f>IF(AND('Mapa final'!$AA$45="Muy Alta",'Mapa final'!$AC$45="Menor"),CONCATENATE("R7C",'Mapa final'!$Q$45),"")</f>
        <v/>
      </c>
      <c r="Q12" s="53" t="str">
        <f>IF(AND('Mapa final'!$AA$46="Muy Alta",'Mapa final'!$AC$46="Menor"),CONCATENATE("R7C",'Mapa final'!$Q$46),"")</f>
        <v/>
      </c>
      <c r="R12" s="58" t="str">
        <f>IF(AND('Mapa final'!$AA$47="Muy Alta",'Mapa final'!$AC$47="Menor"),CONCATENATE("R7C",'Mapa final'!$Q$47),"")</f>
        <v/>
      </c>
      <c r="S12" s="58" t="str">
        <f>IF(AND('Mapa final'!$AA$48="Muy Alta",'Mapa final'!$AC$48="Menor"),CONCATENATE("R7C",'Mapa final'!$Q$48),"")</f>
        <v/>
      </c>
      <c r="T12" s="58" t="str">
        <f>IF(AND('Mapa final'!$AA$49="Muy Alta",'Mapa final'!$AC$49="Menor"),CONCATENATE("R7C",'Mapa final'!$Q$49),"")</f>
        <v/>
      </c>
      <c r="U12" s="54" t="str">
        <f>IF(AND('Mapa final'!$AA$50="Muy Alta",'Mapa final'!$AC$50="Menor"),CONCATENATE("R7C",'Mapa final'!$Q$50),"")</f>
        <v/>
      </c>
      <c r="V12" s="52" t="str">
        <f>IF(AND('Mapa final'!$AA$45="Muy Alta",'Mapa final'!$AC$45="Moderado"),CONCATENATE("R7C",'Mapa final'!$Q$45),"")</f>
        <v/>
      </c>
      <c r="W12" s="53" t="str">
        <f>IF(AND('Mapa final'!$AA$46="Muy Alta",'Mapa final'!$AC$46="Moderado"),CONCATENATE("R7C",'Mapa final'!$Q$46),"")</f>
        <v/>
      </c>
      <c r="X12" s="58" t="str">
        <f>IF(AND('Mapa final'!$AA$47="Muy Alta",'Mapa final'!$AC$47="Moderado"),CONCATENATE("R7C",'Mapa final'!$Q$47),"")</f>
        <v/>
      </c>
      <c r="Y12" s="58" t="str">
        <f>IF(AND('Mapa final'!$AA$48="Muy Alta",'Mapa final'!$AC$48="Moderado"),CONCATENATE("R7C",'Mapa final'!$Q$48),"")</f>
        <v/>
      </c>
      <c r="Z12" s="58" t="str">
        <f>IF(AND('Mapa final'!$AA$49="Muy Alta",'Mapa final'!$AC$49="Moderado"),CONCATENATE("R7C",'Mapa final'!$Q$49),"")</f>
        <v/>
      </c>
      <c r="AA12" s="54" t="str">
        <f>IF(AND('Mapa final'!$AA$50="Muy Alta",'Mapa final'!$AC$50="Moderado"),CONCATENATE("R7C",'Mapa final'!$Q$50),"")</f>
        <v/>
      </c>
      <c r="AB12" s="52" t="str">
        <f>IF(AND('Mapa final'!$AA$45="Muy Alta",'Mapa final'!$AC$45="Mayor"),CONCATENATE("R7C",'Mapa final'!$Q$45),"")</f>
        <v/>
      </c>
      <c r="AC12" s="53" t="str">
        <f>IF(AND('Mapa final'!$AA$46="Muy Alta",'Mapa final'!$AC$46="Mayor"),CONCATENATE("R7C",'Mapa final'!$Q$46),"")</f>
        <v/>
      </c>
      <c r="AD12" s="58" t="str">
        <f>IF(AND('Mapa final'!$AA$47="Muy Alta",'Mapa final'!$AC$47="Mayor"),CONCATENATE("R7C",'Mapa final'!$Q$47),"")</f>
        <v/>
      </c>
      <c r="AE12" s="58" t="str">
        <f>IF(AND('Mapa final'!$AA$48="Muy Alta",'Mapa final'!$AC$48="Mayor"),CONCATENATE("R7C",'Mapa final'!$Q$48),"")</f>
        <v/>
      </c>
      <c r="AF12" s="58" t="str">
        <f>IF(AND('Mapa final'!$AA$49="Muy Alta",'Mapa final'!$AC$49="Mayor"),CONCATENATE("R7C",'Mapa final'!$Q$49),"")</f>
        <v/>
      </c>
      <c r="AG12" s="54" t="str">
        <f>IF(AND('Mapa final'!$AA$50="Muy Alta",'Mapa final'!$AC$50="Mayor"),CONCATENATE("R7C",'Mapa final'!$Q$50),"")</f>
        <v/>
      </c>
      <c r="AH12" s="55" t="str">
        <f>IF(AND('Mapa final'!$AA$45="Muy Alta",'Mapa final'!$AC$45="Catastrófico"),CONCATENATE("R7C",'Mapa final'!$Q$45),"")</f>
        <v/>
      </c>
      <c r="AI12" s="56" t="str">
        <f>IF(AND('Mapa final'!$AA$46="Muy Alta",'Mapa final'!$AC$46="Catastrófico"),CONCATENATE("R7C",'Mapa final'!$Q$46),"")</f>
        <v/>
      </c>
      <c r="AJ12" s="56" t="str">
        <f>IF(AND('Mapa final'!$AA$47="Muy Alta",'Mapa final'!$AC$47="Catastrófico"),CONCATENATE("R7C",'Mapa final'!$Q$47),"")</f>
        <v/>
      </c>
      <c r="AK12" s="56" t="str">
        <f>IF(AND('Mapa final'!$AA$48="Muy Alta",'Mapa final'!$AC$48="Catastrófico"),CONCATENATE("R7C",'Mapa final'!$Q$48),"")</f>
        <v/>
      </c>
      <c r="AL12" s="56" t="str">
        <f>IF(AND('Mapa final'!$AA$49="Muy Alta",'Mapa final'!$AC$49="Catastrófico"),CONCATENATE("R7C",'Mapa final'!$Q$49),"")</f>
        <v/>
      </c>
      <c r="AM12" s="57" t="str">
        <f>IF(AND('Mapa final'!$AA$50="Muy Alta",'Mapa final'!$AC$50="Catastrófico"),CONCATENATE("R7C",'Mapa final'!$Q$50),"")</f>
        <v/>
      </c>
      <c r="AN12" s="84"/>
      <c r="AO12" s="390"/>
      <c r="AP12" s="391"/>
      <c r="AQ12" s="391"/>
      <c r="AR12" s="391"/>
      <c r="AS12" s="391"/>
      <c r="AT12" s="39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82"/>
      <c r="C13" s="282"/>
      <c r="D13" s="283"/>
      <c r="E13" s="383"/>
      <c r="F13" s="384"/>
      <c r="G13" s="384"/>
      <c r="H13" s="384"/>
      <c r="I13" s="399"/>
      <c r="J13" s="52" t="str">
        <f>IF(AND('Mapa final'!$AA$51="Muy Alta",'Mapa final'!$AC$51="Leve"),CONCATENATE("R8C",'Mapa final'!$Q$51),"")</f>
        <v/>
      </c>
      <c r="K13" s="53" t="str">
        <f>IF(AND('Mapa final'!$AA$52="Muy Alta",'Mapa final'!$AC$52="Leve"),CONCATENATE("R8C",'Mapa final'!$Q$52),"")</f>
        <v/>
      </c>
      <c r="L13" s="58" t="str">
        <f>IF(AND('Mapa final'!$AA$53="Muy Alta",'Mapa final'!$AC$53="Leve"),CONCATENATE("R8C",'Mapa final'!$Q$53),"")</f>
        <v/>
      </c>
      <c r="M13" s="58" t="str">
        <f>IF(AND('Mapa final'!$AA$54="Muy Alta",'Mapa final'!$AC$54="Leve"),CONCATENATE("R8C",'Mapa final'!$Q$54),"")</f>
        <v/>
      </c>
      <c r="N13" s="58" t="str">
        <f>IF(AND('Mapa final'!$AA$55="Muy Alta",'Mapa final'!$AC$55="Leve"),CONCATENATE("R8C",'Mapa final'!$Q$55),"")</f>
        <v/>
      </c>
      <c r="O13" s="54" t="str">
        <f>IF(AND('Mapa final'!$AA$56="Muy Alta",'Mapa final'!$AC$56="Leve"),CONCATENATE("R8C",'Mapa final'!$Q$56),"")</f>
        <v/>
      </c>
      <c r="P13" s="52" t="str">
        <f>IF(AND('Mapa final'!$AA$51="Muy Alta",'Mapa final'!$AC$51="Menor"),CONCATENATE("R8C",'Mapa final'!$Q$51),"")</f>
        <v/>
      </c>
      <c r="Q13" s="53" t="str">
        <f>IF(AND('Mapa final'!$AA$52="Muy Alta",'Mapa final'!$AC$52="Menor"),CONCATENATE("R8C",'Mapa final'!$Q$52),"")</f>
        <v/>
      </c>
      <c r="R13" s="58" t="str">
        <f>IF(AND('Mapa final'!$AA$53="Muy Alta",'Mapa final'!$AC$53="Menor"),CONCATENATE("R8C",'Mapa final'!$Q$53),"")</f>
        <v/>
      </c>
      <c r="S13" s="58" t="str">
        <f>IF(AND('Mapa final'!$AA$54="Muy Alta",'Mapa final'!$AC$54="Menor"),CONCATENATE("R8C",'Mapa final'!$Q$54),"")</f>
        <v/>
      </c>
      <c r="T13" s="58" t="str">
        <f>IF(AND('Mapa final'!$AA$55="Muy Alta",'Mapa final'!$AC$55="Menor"),CONCATENATE("R8C",'Mapa final'!$Q$55),"")</f>
        <v/>
      </c>
      <c r="U13" s="54" t="str">
        <f>IF(AND('Mapa final'!$AA$56="Muy Alta",'Mapa final'!$AC$56="Menor"),CONCATENATE("R8C",'Mapa final'!$Q$56),"")</f>
        <v/>
      </c>
      <c r="V13" s="52" t="str">
        <f>IF(AND('Mapa final'!$AA$51="Muy Alta",'Mapa final'!$AC$51="Moderado"),CONCATENATE("R8C",'Mapa final'!$Q$51),"")</f>
        <v/>
      </c>
      <c r="W13" s="53" t="str">
        <f>IF(AND('Mapa final'!$AA$52="Muy Alta",'Mapa final'!$AC$52="Moderado"),CONCATENATE("R8C",'Mapa final'!$Q$52),"")</f>
        <v/>
      </c>
      <c r="X13" s="58" t="str">
        <f>IF(AND('Mapa final'!$AA$53="Muy Alta",'Mapa final'!$AC$53="Moderado"),CONCATENATE("R8C",'Mapa final'!$Q$53),"")</f>
        <v/>
      </c>
      <c r="Y13" s="58" t="str">
        <f>IF(AND('Mapa final'!$AA$54="Muy Alta",'Mapa final'!$AC$54="Moderado"),CONCATENATE("R8C",'Mapa final'!$Q$54),"")</f>
        <v/>
      </c>
      <c r="Z13" s="58" t="str">
        <f>IF(AND('Mapa final'!$AA$55="Muy Alta",'Mapa final'!$AC$55="Moderado"),CONCATENATE("R8C",'Mapa final'!$Q$55),"")</f>
        <v/>
      </c>
      <c r="AA13" s="54" t="str">
        <f>IF(AND('Mapa final'!$AA$56="Muy Alta",'Mapa final'!$AC$56="Moderado"),CONCATENATE("R8C",'Mapa final'!$Q$56),"")</f>
        <v/>
      </c>
      <c r="AB13" s="52" t="str">
        <f>IF(AND('Mapa final'!$AA$51="Muy Alta",'Mapa final'!$AC$51="Mayor"),CONCATENATE("R8C",'Mapa final'!$Q$51),"")</f>
        <v/>
      </c>
      <c r="AC13" s="53" t="str">
        <f>IF(AND('Mapa final'!$AA$52="Muy Alta",'Mapa final'!$AC$52="Mayor"),CONCATENATE("R8C",'Mapa final'!$Q$52),"")</f>
        <v/>
      </c>
      <c r="AD13" s="58" t="str">
        <f>IF(AND('Mapa final'!$AA$53="Muy Alta",'Mapa final'!$AC$53="Mayor"),CONCATENATE("R8C",'Mapa final'!$Q$53),"")</f>
        <v/>
      </c>
      <c r="AE13" s="58" t="str">
        <f>IF(AND('Mapa final'!$AA$54="Muy Alta",'Mapa final'!$AC$54="Mayor"),CONCATENATE("R8C",'Mapa final'!$Q$54),"")</f>
        <v/>
      </c>
      <c r="AF13" s="58" t="str">
        <f>IF(AND('Mapa final'!$AA$55="Muy Alta",'Mapa final'!$AC$55="Mayor"),CONCATENATE("R8C",'Mapa final'!$Q$55),"")</f>
        <v/>
      </c>
      <c r="AG13" s="54" t="str">
        <f>IF(AND('Mapa final'!$AA$56="Muy Alta",'Mapa final'!$AC$56="Mayor"),CONCATENATE("R8C",'Mapa final'!$Q$56),"")</f>
        <v/>
      </c>
      <c r="AH13" s="55" t="str">
        <f>IF(AND('Mapa final'!$AA$51="Muy Alta",'Mapa final'!$AC$51="Catastrófico"),CONCATENATE("R8C",'Mapa final'!$Q$51),"")</f>
        <v/>
      </c>
      <c r="AI13" s="56" t="str">
        <f>IF(AND('Mapa final'!$AA$52="Muy Alta",'Mapa final'!$AC$52="Catastrófico"),CONCATENATE("R8C",'Mapa final'!$Q$52),"")</f>
        <v/>
      </c>
      <c r="AJ13" s="56" t="str">
        <f>IF(AND('Mapa final'!$AA$53="Muy Alta",'Mapa final'!$AC$53="Catastrófico"),CONCATENATE("R8C",'Mapa final'!$Q$53),"")</f>
        <v/>
      </c>
      <c r="AK13" s="56" t="str">
        <f>IF(AND('Mapa final'!$AA$54="Muy Alta",'Mapa final'!$AC$54="Catastrófico"),CONCATENATE("R8C",'Mapa final'!$Q$54),"")</f>
        <v/>
      </c>
      <c r="AL13" s="56" t="str">
        <f>IF(AND('Mapa final'!$AA$55="Muy Alta",'Mapa final'!$AC$55="Catastrófico"),CONCATENATE("R8C",'Mapa final'!$Q$55),"")</f>
        <v/>
      </c>
      <c r="AM13" s="57" t="str">
        <f>IF(AND('Mapa final'!$AA$56="Muy Alta",'Mapa final'!$AC$56="Catastrófico"),CONCATENATE("R8C",'Mapa final'!$Q$56),"")</f>
        <v/>
      </c>
      <c r="AN13" s="84"/>
      <c r="AO13" s="390"/>
      <c r="AP13" s="391"/>
      <c r="AQ13" s="391"/>
      <c r="AR13" s="391"/>
      <c r="AS13" s="391"/>
      <c r="AT13" s="39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82"/>
      <c r="C14" s="282"/>
      <c r="D14" s="283"/>
      <c r="E14" s="383"/>
      <c r="F14" s="384"/>
      <c r="G14" s="384"/>
      <c r="H14" s="384"/>
      <c r="I14" s="399"/>
      <c r="J14" s="52" t="str">
        <f>IF(AND('Mapa final'!$AA$57="Muy Alta",'Mapa final'!$AC$57="Leve"),CONCATENATE("R9C",'Mapa final'!$Q$57),"")</f>
        <v/>
      </c>
      <c r="K14" s="53" t="str">
        <f>IF(AND('Mapa final'!$AA$58="Muy Alta",'Mapa final'!$AC$58="Leve"),CONCATENATE("R9C",'Mapa final'!$Q$58),"")</f>
        <v/>
      </c>
      <c r="L14" s="58" t="str">
        <f>IF(AND('Mapa final'!$AA$59="Muy Alta",'Mapa final'!$AC$59="Leve"),CONCATENATE("R9C",'Mapa final'!$Q$59),"")</f>
        <v/>
      </c>
      <c r="M14" s="58" t="str">
        <f>IF(AND('Mapa final'!$AA$60="Muy Alta",'Mapa final'!$AC$60="Leve"),CONCATENATE("R9C",'Mapa final'!$Q$60),"")</f>
        <v/>
      </c>
      <c r="N14" s="58" t="str">
        <f>IF(AND('Mapa final'!$AA$61="Muy Alta",'Mapa final'!$AC$61="Leve"),CONCATENATE("R9C",'Mapa final'!$Q$61),"")</f>
        <v/>
      </c>
      <c r="O14" s="54" t="str">
        <f>IF(AND('Mapa final'!$AA$62="Muy Alta",'Mapa final'!$AC$62="Leve"),CONCATENATE("R9C",'Mapa final'!$Q$62),"")</f>
        <v/>
      </c>
      <c r="P14" s="52" t="str">
        <f>IF(AND('Mapa final'!$AA$57="Muy Alta",'Mapa final'!$AC$57="Menor"),CONCATENATE("R9C",'Mapa final'!$Q$57),"")</f>
        <v/>
      </c>
      <c r="Q14" s="53" t="str">
        <f>IF(AND('Mapa final'!$AA$58="Muy Alta",'Mapa final'!$AC$58="Menor"),CONCATENATE("R9C",'Mapa final'!$Q$58),"")</f>
        <v/>
      </c>
      <c r="R14" s="58" t="str">
        <f>IF(AND('Mapa final'!$AA$59="Muy Alta",'Mapa final'!$AC$59="Menor"),CONCATENATE("R9C",'Mapa final'!$Q$59),"")</f>
        <v/>
      </c>
      <c r="S14" s="58" t="str">
        <f>IF(AND('Mapa final'!$AA$60="Muy Alta",'Mapa final'!$AC$60="Menor"),CONCATENATE("R9C",'Mapa final'!$Q$60),"")</f>
        <v/>
      </c>
      <c r="T14" s="58" t="str">
        <f>IF(AND('Mapa final'!$AA$61="Muy Alta",'Mapa final'!$AC$61="Menor"),CONCATENATE("R9C",'Mapa final'!$Q$61),"")</f>
        <v/>
      </c>
      <c r="U14" s="54" t="str">
        <f>IF(AND('Mapa final'!$AA$62="Muy Alta",'Mapa final'!$AC$62="Menor"),CONCATENATE("R9C",'Mapa final'!$Q$62),"")</f>
        <v/>
      </c>
      <c r="V14" s="52" t="str">
        <f>IF(AND('Mapa final'!$AA$57="Muy Alta",'Mapa final'!$AC$57="Moderado"),CONCATENATE("R9C",'Mapa final'!$Q$57),"")</f>
        <v/>
      </c>
      <c r="W14" s="53" t="str">
        <f>IF(AND('Mapa final'!$AA$58="Muy Alta",'Mapa final'!$AC$58="Moderado"),CONCATENATE("R9C",'Mapa final'!$Q$58),"")</f>
        <v/>
      </c>
      <c r="X14" s="58" t="str">
        <f>IF(AND('Mapa final'!$AA$59="Muy Alta",'Mapa final'!$AC$59="Moderado"),CONCATENATE("R9C",'Mapa final'!$Q$59),"")</f>
        <v/>
      </c>
      <c r="Y14" s="58" t="str">
        <f>IF(AND('Mapa final'!$AA$60="Muy Alta",'Mapa final'!$AC$60="Moderado"),CONCATENATE("R9C",'Mapa final'!$Q$60),"")</f>
        <v/>
      </c>
      <c r="Z14" s="58" t="str">
        <f>IF(AND('Mapa final'!$AA$61="Muy Alta",'Mapa final'!$AC$61="Moderado"),CONCATENATE("R9C",'Mapa final'!$Q$61),"")</f>
        <v/>
      </c>
      <c r="AA14" s="54" t="str">
        <f>IF(AND('Mapa final'!$AA$62="Muy Alta",'Mapa final'!$AC$62="Moderado"),CONCATENATE("R9C",'Mapa final'!$Q$62),"")</f>
        <v/>
      </c>
      <c r="AB14" s="52" t="str">
        <f>IF(AND('Mapa final'!$AA$57="Muy Alta",'Mapa final'!$AC$57="Mayor"),CONCATENATE("R9C",'Mapa final'!$Q$57),"")</f>
        <v/>
      </c>
      <c r="AC14" s="53" t="str">
        <f>IF(AND('Mapa final'!$AA$58="Muy Alta",'Mapa final'!$AC$58="Mayor"),CONCATENATE("R9C",'Mapa final'!$Q$58),"")</f>
        <v/>
      </c>
      <c r="AD14" s="58" t="str">
        <f>IF(AND('Mapa final'!$AA$59="Muy Alta",'Mapa final'!$AC$59="Mayor"),CONCATENATE("R9C",'Mapa final'!$Q$59),"")</f>
        <v/>
      </c>
      <c r="AE14" s="58" t="str">
        <f>IF(AND('Mapa final'!$AA$60="Muy Alta",'Mapa final'!$AC$60="Mayor"),CONCATENATE("R9C",'Mapa final'!$Q$60),"")</f>
        <v/>
      </c>
      <c r="AF14" s="58" t="str">
        <f>IF(AND('Mapa final'!$AA$61="Muy Alta",'Mapa final'!$AC$61="Mayor"),CONCATENATE("R9C",'Mapa final'!$Q$61),"")</f>
        <v/>
      </c>
      <c r="AG14" s="54" t="str">
        <f>IF(AND('Mapa final'!$AA$62="Muy Alta",'Mapa final'!$AC$62="Mayor"),CONCATENATE("R9C",'Mapa final'!$Q$62),"")</f>
        <v/>
      </c>
      <c r="AH14" s="55" t="str">
        <f>IF(AND('Mapa final'!$AA$57="Muy Alta",'Mapa final'!$AC$57="Catastrófico"),CONCATENATE("R9C",'Mapa final'!$Q$57),"")</f>
        <v/>
      </c>
      <c r="AI14" s="56" t="str">
        <f>IF(AND('Mapa final'!$AA$58="Muy Alta",'Mapa final'!$AC$58="Catastrófico"),CONCATENATE("R9C",'Mapa final'!$Q$58),"")</f>
        <v/>
      </c>
      <c r="AJ14" s="56" t="str">
        <f>IF(AND('Mapa final'!$AA$59="Muy Alta",'Mapa final'!$AC$59="Catastrófico"),CONCATENATE("R9C",'Mapa final'!$Q$59),"")</f>
        <v/>
      </c>
      <c r="AK14" s="56" t="str">
        <f>IF(AND('Mapa final'!$AA$60="Muy Alta",'Mapa final'!$AC$60="Catastrófico"),CONCATENATE("R9C",'Mapa final'!$Q$60),"")</f>
        <v/>
      </c>
      <c r="AL14" s="56" t="str">
        <f>IF(AND('Mapa final'!$AA$61="Muy Alta",'Mapa final'!$AC$61="Catastrófico"),CONCATENATE("R9C",'Mapa final'!$Q$61),"")</f>
        <v/>
      </c>
      <c r="AM14" s="57" t="str">
        <f>IF(AND('Mapa final'!$AA$62="Muy Alta",'Mapa final'!$AC$62="Catastrófico"),CONCATENATE("R9C",'Mapa final'!$Q$62),"")</f>
        <v/>
      </c>
      <c r="AN14" s="84"/>
      <c r="AO14" s="390"/>
      <c r="AP14" s="391"/>
      <c r="AQ14" s="391"/>
      <c r="AR14" s="391"/>
      <c r="AS14" s="391"/>
      <c r="AT14" s="392"/>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82"/>
      <c r="C15" s="282"/>
      <c r="D15" s="283"/>
      <c r="E15" s="385"/>
      <c r="F15" s="386"/>
      <c r="G15" s="386"/>
      <c r="H15" s="386"/>
      <c r="I15" s="400"/>
      <c r="J15" s="59" t="str">
        <f>IF(AND('Mapa final'!$AA$63="Muy Alta",'Mapa final'!$AC$63="Leve"),CONCATENATE("R10C",'Mapa final'!$Q$63),"")</f>
        <v/>
      </c>
      <c r="K15" s="60" t="str">
        <f>IF(AND('Mapa final'!$AA$64="Muy Alta",'Mapa final'!$AC$64="Leve"),CONCATENATE("R10C",'Mapa final'!$Q$64),"")</f>
        <v/>
      </c>
      <c r="L15" s="60" t="str">
        <f>IF(AND('Mapa final'!$AA$65="Muy Alta",'Mapa final'!$AC$65="Leve"),CONCATENATE("R10C",'Mapa final'!$Q$65),"")</f>
        <v/>
      </c>
      <c r="M15" s="60" t="str">
        <f>IF(AND('Mapa final'!$AA$66="Muy Alta",'Mapa final'!$AC$66="Leve"),CONCATENATE("R10C",'Mapa final'!$Q$66),"")</f>
        <v/>
      </c>
      <c r="N15" s="60" t="str">
        <f>IF(AND('Mapa final'!$AA$67="Muy Alta",'Mapa final'!$AC$67="Leve"),CONCATENATE("R10C",'Mapa final'!$Q$67),"")</f>
        <v/>
      </c>
      <c r="O15" s="61" t="str">
        <f>IF(AND('Mapa final'!$AA$68="Muy Alta",'Mapa final'!$AC$68="Leve"),CONCATENATE("R10C",'Mapa final'!$Q$68),"")</f>
        <v/>
      </c>
      <c r="P15" s="52" t="str">
        <f>IF(AND('Mapa final'!$AA$63="Muy Alta",'Mapa final'!$AC$63="Menor"),CONCATENATE("R10C",'Mapa final'!$Q$63),"")</f>
        <v/>
      </c>
      <c r="Q15" s="53" t="str">
        <f>IF(AND('Mapa final'!$AA$64="Muy Alta",'Mapa final'!$AC$64="Menor"),CONCATENATE("R10C",'Mapa final'!$Q$64),"")</f>
        <v/>
      </c>
      <c r="R15" s="53" t="str">
        <f>IF(AND('Mapa final'!$AA$65="Muy Alta",'Mapa final'!$AC$65="Menor"),CONCATENATE("R10C",'Mapa final'!$Q$65),"")</f>
        <v/>
      </c>
      <c r="S15" s="53" t="str">
        <f>IF(AND('Mapa final'!$AA$66="Muy Alta",'Mapa final'!$AC$66="Menor"),CONCATENATE("R10C",'Mapa final'!$Q$66),"")</f>
        <v/>
      </c>
      <c r="T15" s="53" t="str">
        <f>IF(AND('Mapa final'!$AA$67="Muy Alta",'Mapa final'!$AC$67="Menor"),CONCATENATE("R10C",'Mapa final'!$Q$67),"")</f>
        <v/>
      </c>
      <c r="U15" s="54" t="str">
        <f>IF(AND('Mapa final'!$AA$68="Muy Alta",'Mapa final'!$AC$68="Menor"),CONCATENATE("R10C",'Mapa final'!$Q$68),"")</f>
        <v/>
      </c>
      <c r="V15" s="59" t="str">
        <f>IF(AND('Mapa final'!$AA$63="Muy Alta",'Mapa final'!$AC$63="Moderado"),CONCATENATE("R10C",'Mapa final'!$Q$63),"")</f>
        <v/>
      </c>
      <c r="W15" s="60" t="str">
        <f>IF(AND('Mapa final'!$AA$64="Muy Alta",'Mapa final'!$AC$64="Moderado"),CONCATENATE("R10C",'Mapa final'!$Q$64),"")</f>
        <v/>
      </c>
      <c r="X15" s="60" t="str">
        <f>IF(AND('Mapa final'!$AA$65="Muy Alta",'Mapa final'!$AC$65="Moderado"),CONCATENATE("R10C",'Mapa final'!$Q$65),"")</f>
        <v/>
      </c>
      <c r="Y15" s="60" t="str">
        <f>IF(AND('Mapa final'!$AA$66="Muy Alta",'Mapa final'!$AC$66="Moderado"),CONCATENATE("R10C",'Mapa final'!$Q$66),"")</f>
        <v/>
      </c>
      <c r="Z15" s="60" t="str">
        <f>IF(AND('Mapa final'!$AA$67="Muy Alta",'Mapa final'!$AC$67="Moderado"),CONCATENATE("R10C",'Mapa final'!$Q$67),"")</f>
        <v/>
      </c>
      <c r="AA15" s="61" t="str">
        <f>IF(AND('Mapa final'!$AA$68="Muy Alta",'Mapa final'!$AC$68="Moderado"),CONCATENATE("R10C",'Mapa final'!$Q$68),"")</f>
        <v/>
      </c>
      <c r="AB15" s="52" t="str">
        <f>IF(AND('Mapa final'!$AA$63="Muy Alta",'Mapa final'!$AC$63="Mayor"),CONCATENATE("R10C",'Mapa final'!$Q$63),"")</f>
        <v/>
      </c>
      <c r="AC15" s="53" t="str">
        <f>IF(AND('Mapa final'!$AA$64="Muy Alta",'Mapa final'!$AC$64="Mayor"),CONCATENATE("R10C",'Mapa final'!$Q$64),"")</f>
        <v/>
      </c>
      <c r="AD15" s="53" t="str">
        <f>IF(AND('Mapa final'!$AA$65="Muy Alta",'Mapa final'!$AC$65="Mayor"),CONCATENATE("R10C",'Mapa final'!$Q$65),"")</f>
        <v/>
      </c>
      <c r="AE15" s="53" t="str">
        <f>IF(AND('Mapa final'!$AA$66="Muy Alta",'Mapa final'!$AC$66="Mayor"),CONCATENATE("R10C",'Mapa final'!$Q$66),"")</f>
        <v/>
      </c>
      <c r="AF15" s="53" t="str">
        <f>IF(AND('Mapa final'!$AA$67="Muy Alta",'Mapa final'!$AC$67="Mayor"),CONCATENATE("R10C",'Mapa final'!$Q$67),"")</f>
        <v/>
      </c>
      <c r="AG15" s="54" t="str">
        <f>IF(AND('Mapa final'!$AA$68="Muy Alta",'Mapa final'!$AC$68="Mayor"),CONCATENATE("R10C",'Mapa final'!$Q$68),"")</f>
        <v/>
      </c>
      <c r="AH15" s="62" t="str">
        <f>IF(AND('Mapa final'!$AA$63="Muy Alta",'Mapa final'!$AC$63="Catastrófico"),CONCATENATE("R10C",'Mapa final'!$Q$63),"")</f>
        <v/>
      </c>
      <c r="AI15" s="63" t="str">
        <f>IF(AND('Mapa final'!$AA$64="Muy Alta",'Mapa final'!$AC$64="Catastrófico"),CONCATENATE("R10C",'Mapa final'!$Q$64),"")</f>
        <v/>
      </c>
      <c r="AJ15" s="63" t="str">
        <f>IF(AND('Mapa final'!$AA$65="Muy Alta",'Mapa final'!$AC$65="Catastrófico"),CONCATENATE("R10C",'Mapa final'!$Q$65),"")</f>
        <v/>
      </c>
      <c r="AK15" s="63" t="str">
        <f>IF(AND('Mapa final'!$AA$66="Muy Alta",'Mapa final'!$AC$66="Catastrófico"),CONCATENATE("R10C",'Mapa final'!$Q$66),"")</f>
        <v/>
      </c>
      <c r="AL15" s="63" t="str">
        <f>IF(AND('Mapa final'!$AA$67="Muy Alta",'Mapa final'!$AC$67="Catastrófico"),CONCATENATE("R10C",'Mapa final'!$Q$67),"")</f>
        <v/>
      </c>
      <c r="AM15" s="64" t="str">
        <f>IF(AND('Mapa final'!$AA$68="Muy Alta",'Mapa final'!$AC$68="Catastrófico"),CONCATENATE("R10C",'Mapa final'!$Q$68),"")</f>
        <v/>
      </c>
      <c r="AN15" s="84"/>
      <c r="AO15" s="393"/>
      <c r="AP15" s="394"/>
      <c r="AQ15" s="394"/>
      <c r="AR15" s="394"/>
      <c r="AS15" s="394"/>
      <c r="AT15" s="395"/>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82"/>
      <c r="C16" s="282"/>
      <c r="D16" s="283"/>
      <c r="E16" s="379" t="s">
        <v>107</v>
      </c>
      <c r="F16" s="380"/>
      <c r="G16" s="380"/>
      <c r="H16" s="380"/>
      <c r="I16" s="380"/>
      <c r="J16" s="65" t="str">
        <f ca="1">IF(AND('Mapa final'!$AA$11="Alta",'Mapa final'!$AC$11="Leve"),CONCATENATE("R1C",'Mapa final'!$Q$11),"")</f>
        <v/>
      </c>
      <c r="K16" s="66" t="str">
        <f ca="1">IF(AND('Mapa final'!$AA$12="Alta",'Mapa final'!$AC$12="Leve"),CONCATENATE("R1C",'Mapa final'!$Q$12),"")</f>
        <v/>
      </c>
      <c r="L16" s="66" t="e">
        <f>IF(AND('Mapa final'!#REF!="Alta",'Mapa final'!#REF!="Leve"),CONCATENATE("R1C",'Mapa final'!#REF!),"")</f>
        <v>#REF!</v>
      </c>
      <c r="M16" s="66" t="e">
        <f>IF(AND('Mapa final'!#REF!="Alta",'Mapa final'!#REF!="Leve"),CONCATENATE("R1C",'Mapa final'!#REF!),"")</f>
        <v>#REF!</v>
      </c>
      <c r="N16" s="66" t="str">
        <f>IF(AND('Mapa final'!$AA$13="Alta",'Mapa final'!$AC$13="Leve"),CONCATENATE("R1C",'Mapa final'!$Q$13),"")</f>
        <v/>
      </c>
      <c r="O16" s="67" t="str">
        <f>IF(AND('Mapa final'!$AA$14="Alta",'Mapa final'!$AC$14="Leve"),CONCATENATE("R1C",'Mapa final'!$Q$14),"")</f>
        <v/>
      </c>
      <c r="P16" s="65" t="str">
        <f ca="1">IF(AND('Mapa final'!$AA$11="Alta",'Mapa final'!$AC$11="Menor"),CONCATENATE("R1C",'Mapa final'!$Q$11),"")</f>
        <v/>
      </c>
      <c r="Q16" s="66" t="str">
        <f ca="1">IF(AND('Mapa final'!$AA$12="Alta",'Mapa final'!$AC$12="Menor"),CONCATENATE("R1C",'Mapa final'!$Q$12),"")</f>
        <v/>
      </c>
      <c r="R16" s="66" t="e">
        <f>IF(AND('Mapa final'!#REF!="Alta",'Mapa final'!#REF!="Menor"),CONCATENATE("R1C",'Mapa final'!#REF!),"")</f>
        <v>#REF!</v>
      </c>
      <c r="S16" s="66" t="e">
        <f>IF(AND('Mapa final'!#REF!="Alta",'Mapa final'!#REF!="Menor"),CONCATENATE("R1C",'Mapa final'!#REF!),"")</f>
        <v>#REF!</v>
      </c>
      <c r="T16" s="66" t="str">
        <f>IF(AND('Mapa final'!$AA$13="Alta",'Mapa final'!$AC$13="Menor"),CONCATENATE("R1C",'Mapa final'!$Q$13),"")</f>
        <v/>
      </c>
      <c r="U16" s="67" t="str">
        <f>IF(AND('Mapa final'!$AA$14="Alta",'Mapa final'!$AC$14="Menor"),CONCATENATE("R1C",'Mapa final'!$Q$14),"")</f>
        <v/>
      </c>
      <c r="V16" s="46" t="str">
        <f ca="1">IF(AND('Mapa final'!$AA$11="Alta",'Mapa final'!$AC$11="Moderado"),CONCATENATE("R1C",'Mapa final'!$Q$11),"")</f>
        <v/>
      </c>
      <c r="W16" s="47" t="str">
        <f ca="1">IF(AND('Mapa final'!$AA$12="Alta",'Mapa final'!$AC$12="Moderado"),CONCATENATE("R1C",'Mapa final'!$Q$12),"")</f>
        <v/>
      </c>
      <c r="X16" s="47" t="e">
        <f>IF(AND('Mapa final'!#REF!="Alta",'Mapa final'!#REF!="Moderado"),CONCATENATE("R1C",'Mapa final'!#REF!),"")</f>
        <v>#REF!</v>
      </c>
      <c r="Y16" s="47" t="e">
        <f>IF(AND('Mapa final'!#REF!="Alta",'Mapa final'!#REF!="Moderado"),CONCATENATE("R1C",'Mapa final'!#REF!),"")</f>
        <v>#REF!</v>
      </c>
      <c r="Z16" s="47" t="str">
        <f>IF(AND('Mapa final'!$AA$13="Alta",'Mapa final'!$AC$13="Moderado"),CONCATENATE("R1C",'Mapa final'!$Q$13),"")</f>
        <v/>
      </c>
      <c r="AA16" s="48" t="str">
        <f>IF(AND('Mapa final'!$AA$14="Alta",'Mapa final'!$AC$14="Moderado"),CONCATENATE("R1C",'Mapa final'!$Q$14),"")</f>
        <v/>
      </c>
      <c r="AB16" s="46" t="str">
        <f ca="1">IF(AND('Mapa final'!$AA$11="Alta",'Mapa final'!$AC$11="Mayor"),CONCATENATE("R1C",'Mapa final'!$Q$11),"")</f>
        <v/>
      </c>
      <c r="AC16" s="47" t="str">
        <f ca="1">IF(AND('Mapa final'!$AA$12="Alta",'Mapa final'!$AC$12="Mayor"),CONCATENATE("R1C",'Mapa final'!$Q$12),"")</f>
        <v/>
      </c>
      <c r="AD16" s="47" t="e">
        <f>IF(AND('Mapa final'!#REF!="Alta",'Mapa final'!#REF!="Mayor"),CONCATENATE("R1C",'Mapa final'!#REF!),"")</f>
        <v>#REF!</v>
      </c>
      <c r="AE16" s="47" t="e">
        <f>IF(AND('Mapa final'!#REF!="Alta",'Mapa final'!#REF!="Mayor"),CONCATENATE("R1C",'Mapa final'!#REF!),"")</f>
        <v>#REF!</v>
      </c>
      <c r="AF16" s="47" t="str">
        <f>IF(AND('Mapa final'!$AA$13="Alta",'Mapa final'!$AC$13="Mayor"),CONCATENATE("R1C",'Mapa final'!$Q$13),"")</f>
        <v/>
      </c>
      <c r="AG16" s="48" t="str">
        <f>IF(AND('Mapa final'!$AA$14="Alta",'Mapa final'!$AC$14="Mayor"),CONCATENATE("R1C",'Mapa final'!$Q$14),"")</f>
        <v/>
      </c>
      <c r="AH16" s="49" t="str">
        <f ca="1">IF(AND('Mapa final'!$AA$11="Alta",'Mapa final'!$AC$11="Catastrófico"),CONCATENATE("R1C",'Mapa final'!$Q$11),"")</f>
        <v/>
      </c>
      <c r="AI16" s="50" t="str">
        <f ca="1">IF(AND('Mapa final'!$AA$12="Alta",'Mapa final'!$AC$12="Catastrófico"),CONCATENATE("R1C",'Mapa final'!$Q$12),"")</f>
        <v/>
      </c>
      <c r="AJ16" s="50" t="e">
        <f>IF(AND('Mapa final'!#REF!="Alta",'Mapa final'!#REF!="Catastrófico"),CONCATENATE("R1C",'Mapa final'!#REF!),"")</f>
        <v>#REF!</v>
      </c>
      <c r="AK16" s="50" t="e">
        <f>IF(AND('Mapa final'!#REF!="Alta",'Mapa final'!#REF!="Catastrófico"),CONCATENATE("R1C",'Mapa final'!#REF!),"")</f>
        <v>#REF!</v>
      </c>
      <c r="AL16" s="50" t="str">
        <f>IF(AND('Mapa final'!$AA$13="Alta",'Mapa final'!$AC$13="Catastrófico"),CONCATENATE("R1C",'Mapa final'!$Q$13),"")</f>
        <v/>
      </c>
      <c r="AM16" s="51" t="str">
        <f>IF(AND('Mapa final'!$AA$14="Alta",'Mapa final'!$AC$14="Catastrófico"),CONCATENATE("R1C",'Mapa final'!$Q$14),"")</f>
        <v/>
      </c>
      <c r="AN16" s="84"/>
      <c r="AO16" s="370" t="s">
        <v>77</v>
      </c>
      <c r="AP16" s="371"/>
      <c r="AQ16" s="371"/>
      <c r="AR16" s="371"/>
      <c r="AS16" s="371"/>
      <c r="AT16" s="372"/>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82"/>
      <c r="C17" s="282"/>
      <c r="D17" s="283"/>
      <c r="E17" s="381"/>
      <c r="F17" s="382"/>
      <c r="G17" s="382"/>
      <c r="H17" s="382"/>
      <c r="I17" s="382"/>
      <c r="J17" s="68" t="str">
        <f>IF(AND('Mapa final'!$AA$15="Alta",'Mapa final'!$AC$15="Leve"),CONCATENATE("R2C",'Mapa final'!$Q$15),"")</f>
        <v/>
      </c>
      <c r="K17" s="69" t="str">
        <f>IF(AND('Mapa final'!$AA$16="Alta",'Mapa final'!$AC$16="Leve"),CONCATENATE("R2C",'Mapa final'!$Q$16),"")</f>
        <v/>
      </c>
      <c r="L17" s="69" t="str">
        <f>IF(AND('Mapa final'!$AA$17="Alta",'Mapa final'!$AC$17="Leve"),CONCATENATE("R2C",'Mapa final'!$Q$17),"")</f>
        <v/>
      </c>
      <c r="M17" s="69" t="str">
        <f>IF(AND('Mapa final'!$AA$18="Alta",'Mapa final'!$AC$18="Leve"),CONCATENATE("R2C",'Mapa final'!$Q$18),"")</f>
        <v/>
      </c>
      <c r="N17" s="69" t="str">
        <f>IF(AND('Mapa final'!$AA$19="Alta",'Mapa final'!$AC$19="Leve"),CONCATENATE("R2C",'Mapa final'!$Q$19),"")</f>
        <v/>
      </c>
      <c r="O17" s="70" t="str">
        <f>IF(AND('Mapa final'!$AA$20="Alta",'Mapa final'!$AC$20="Leve"),CONCATENATE("R2C",'Mapa final'!$Q$20),"")</f>
        <v/>
      </c>
      <c r="P17" s="68" t="str">
        <f>IF(AND('Mapa final'!$AA$15="Alta",'Mapa final'!$AC$15="Menor"),CONCATENATE("R2C",'Mapa final'!$Q$15),"")</f>
        <v/>
      </c>
      <c r="Q17" s="69" t="str">
        <f>IF(AND('Mapa final'!$AA$16="Alta",'Mapa final'!$AC$16="Menor"),CONCATENATE("R2C",'Mapa final'!$Q$16),"")</f>
        <v/>
      </c>
      <c r="R17" s="69" t="str">
        <f>IF(AND('Mapa final'!$AA$17="Alta",'Mapa final'!$AC$17="Menor"),CONCATENATE("R2C",'Mapa final'!$Q$17),"")</f>
        <v/>
      </c>
      <c r="S17" s="69" t="str">
        <f>IF(AND('Mapa final'!$AA$18="Alta",'Mapa final'!$AC$18="Menor"),CONCATENATE("R2C",'Mapa final'!$Q$18),"")</f>
        <v/>
      </c>
      <c r="T17" s="69" t="str">
        <f>IF(AND('Mapa final'!$AA$19="Alta",'Mapa final'!$AC$19="Menor"),CONCATENATE("R2C",'Mapa final'!$Q$19),"")</f>
        <v/>
      </c>
      <c r="U17" s="70" t="str">
        <f>IF(AND('Mapa final'!$AA$20="Alta",'Mapa final'!$AC$20="Menor"),CONCATENATE("R2C",'Mapa final'!$Q$20),"")</f>
        <v/>
      </c>
      <c r="V17" s="52" t="str">
        <f>IF(AND('Mapa final'!$AA$15="Alta",'Mapa final'!$AC$15="Moderado"),CONCATENATE("R2C",'Mapa final'!$Q$15),"")</f>
        <v/>
      </c>
      <c r="W17" s="53" t="str">
        <f>IF(AND('Mapa final'!$AA$16="Alta",'Mapa final'!$AC$16="Moderado"),CONCATENATE("R2C",'Mapa final'!$Q$16),"")</f>
        <v/>
      </c>
      <c r="X17" s="53" t="str">
        <f>IF(AND('Mapa final'!$AA$17="Alta",'Mapa final'!$AC$17="Moderado"),CONCATENATE("R2C",'Mapa final'!$Q$17),"")</f>
        <v/>
      </c>
      <c r="Y17" s="53" t="str">
        <f>IF(AND('Mapa final'!$AA$18="Alta",'Mapa final'!$AC$18="Moderado"),CONCATENATE("R2C",'Mapa final'!$Q$18),"")</f>
        <v/>
      </c>
      <c r="Z17" s="53" t="str">
        <f>IF(AND('Mapa final'!$AA$19="Alta",'Mapa final'!$AC$19="Moderado"),CONCATENATE("R2C",'Mapa final'!$Q$19),"")</f>
        <v/>
      </c>
      <c r="AA17" s="54" t="str">
        <f>IF(AND('Mapa final'!$AA$20="Alta",'Mapa final'!$AC$20="Moderado"),CONCATENATE("R2C",'Mapa final'!$Q$20),"")</f>
        <v/>
      </c>
      <c r="AB17" s="52" t="str">
        <f>IF(AND('Mapa final'!$AA$15="Alta",'Mapa final'!$AC$15="Mayor"),CONCATENATE("R2C",'Mapa final'!$Q$15),"")</f>
        <v/>
      </c>
      <c r="AC17" s="53" t="str">
        <f>IF(AND('Mapa final'!$AA$16="Alta",'Mapa final'!$AC$16="Mayor"),CONCATENATE("R2C",'Mapa final'!$Q$16),"")</f>
        <v/>
      </c>
      <c r="AD17" s="53" t="str">
        <f>IF(AND('Mapa final'!$AA$17="Alta",'Mapa final'!$AC$17="Mayor"),CONCATENATE("R2C",'Mapa final'!$Q$17),"")</f>
        <v/>
      </c>
      <c r="AE17" s="53" t="str">
        <f>IF(AND('Mapa final'!$AA$18="Alta",'Mapa final'!$AC$18="Mayor"),CONCATENATE("R2C",'Mapa final'!$Q$18),"")</f>
        <v/>
      </c>
      <c r="AF17" s="53" t="str">
        <f>IF(AND('Mapa final'!$AA$19="Alta",'Mapa final'!$AC$19="Mayor"),CONCATENATE("R2C",'Mapa final'!$Q$19),"")</f>
        <v/>
      </c>
      <c r="AG17" s="54" t="str">
        <f>IF(AND('Mapa final'!$AA$20="Alta",'Mapa final'!$AC$20="Mayor"),CONCATENATE("R2C",'Mapa final'!$Q$20),"")</f>
        <v/>
      </c>
      <c r="AH17" s="55" t="str">
        <f>IF(AND('Mapa final'!$AA$15="Alta",'Mapa final'!$AC$15="Catastrófico"),CONCATENATE("R2C",'Mapa final'!$Q$15),"")</f>
        <v/>
      </c>
      <c r="AI17" s="56" t="str">
        <f>IF(AND('Mapa final'!$AA$16="Alta",'Mapa final'!$AC$16="Catastrófico"),CONCATENATE("R2C",'Mapa final'!$Q$16),"")</f>
        <v/>
      </c>
      <c r="AJ17" s="56" t="str">
        <f>IF(AND('Mapa final'!$AA$17="Alta",'Mapa final'!$AC$17="Catastrófico"),CONCATENATE("R2C",'Mapa final'!$Q$17),"")</f>
        <v/>
      </c>
      <c r="AK17" s="56" t="str">
        <f>IF(AND('Mapa final'!$AA$18="Alta",'Mapa final'!$AC$18="Catastrófico"),CONCATENATE("R2C",'Mapa final'!$Q$18),"")</f>
        <v/>
      </c>
      <c r="AL17" s="56" t="str">
        <f>IF(AND('Mapa final'!$AA$19="Alta",'Mapa final'!$AC$19="Catastrófico"),CONCATENATE("R2C",'Mapa final'!$Q$19),"")</f>
        <v/>
      </c>
      <c r="AM17" s="57" t="str">
        <f>IF(AND('Mapa final'!$AA$20="Alta",'Mapa final'!$AC$20="Catastrófico"),CONCATENATE("R2C",'Mapa final'!$Q$20),"")</f>
        <v/>
      </c>
      <c r="AN17" s="84"/>
      <c r="AO17" s="373"/>
      <c r="AP17" s="374"/>
      <c r="AQ17" s="374"/>
      <c r="AR17" s="374"/>
      <c r="AS17" s="374"/>
      <c r="AT17" s="375"/>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82"/>
      <c r="C18" s="282"/>
      <c r="D18" s="283"/>
      <c r="E18" s="383"/>
      <c r="F18" s="384"/>
      <c r="G18" s="384"/>
      <c r="H18" s="384"/>
      <c r="I18" s="382"/>
      <c r="J18" s="68" t="str">
        <f>IF(AND('Mapa final'!$AA$21="Alta",'Mapa final'!$AC$21="Leve"),CONCATENATE("R3C",'Mapa final'!$Q$21),"")</f>
        <v/>
      </c>
      <c r="K18" s="69" t="str">
        <f>IF(AND('Mapa final'!$AA$22="Alta",'Mapa final'!$AC$22="Leve"),CONCATENATE("R3C",'Mapa final'!$Q$22),"")</f>
        <v/>
      </c>
      <c r="L18" s="69" t="str">
        <f>IF(AND('Mapa final'!$AA$23="Alta",'Mapa final'!$AC$23="Leve"),CONCATENATE("R3C",'Mapa final'!$Q$23),"")</f>
        <v/>
      </c>
      <c r="M18" s="69" t="str">
        <f>IF(AND('Mapa final'!$AA$24="Alta",'Mapa final'!$AC$24="Leve"),CONCATENATE("R3C",'Mapa final'!$Q$24),"")</f>
        <v/>
      </c>
      <c r="N18" s="69" t="str">
        <f>IF(AND('Mapa final'!$AA$25="Alta",'Mapa final'!$AC$25="Leve"),CONCATENATE("R3C",'Mapa final'!$Q$25),"")</f>
        <v/>
      </c>
      <c r="O18" s="70" t="str">
        <f>IF(AND('Mapa final'!$AA$26="Alta",'Mapa final'!$AC$26="Leve"),CONCATENATE("R3C",'Mapa final'!$Q$26),"")</f>
        <v/>
      </c>
      <c r="P18" s="68" t="str">
        <f>IF(AND('Mapa final'!$AA$21="Alta",'Mapa final'!$AC$21="Menor"),CONCATENATE("R3C",'Mapa final'!$Q$21),"")</f>
        <v/>
      </c>
      <c r="Q18" s="69" t="str">
        <f>IF(AND('Mapa final'!$AA$22="Alta",'Mapa final'!$AC$22="Menor"),CONCATENATE("R3C",'Mapa final'!$Q$22),"")</f>
        <v/>
      </c>
      <c r="R18" s="69" t="str">
        <f>IF(AND('Mapa final'!$AA$23="Alta",'Mapa final'!$AC$23="Menor"),CONCATENATE("R3C",'Mapa final'!$Q$23),"")</f>
        <v/>
      </c>
      <c r="S18" s="69" t="str">
        <f>IF(AND('Mapa final'!$AA$24="Alta",'Mapa final'!$AC$24="Menor"),CONCATENATE("R3C",'Mapa final'!$Q$24),"")</f>
        <v/>
      </c>
      <c r="T18" s="69" t="str">
        <f>IF(AND('Mapa final'!$AA$25="Alta",'Mapa final'!$AC$25="Menor"),CONCATENATE("R3C",'Mapa final'!$Q$25),"")</f>
        <v/>
      </c>
      <c r="U18" s="70" t="str">
        <f>IF(AND('Mapa final'!$AA$26="Alta",'Mapa final'!$AC$26="Menor"),CONCATENATE("R3C",'Mapa final'!$Q$26),"")</f>
        <v/>
      </c>
      <c r="V18" s="52" t="str">
        <f>IF(AND('Mapa final'!$AA$21="Alta",'Mapa final'!$AC$21="Moderado"),CONCATENATE("R3C",'Mapa final'!$Q$21),"")</f>
        <v/>
      </c>
      <c r="W18" s="53" t="str">
        <f>IF(AND('Mapa final'!$AA$22="Alta",'Mapa final'!$AC$22="Moderado"),CONCATENATE("R3C",'Mapa final'!$Q$22),"")</f>
        <v/>
      </c>
      <c r="X18" s="53" t="str">
        <f>IF(AND('Mapa final'!$AA$23="Alta",'Mapa final'!$AC$23="Moderado"),CONCATENATE("R3C",'Mapa final'!$Q$23),"")</f>
        <v/>
      </c>
      <c r="Y18" s="53" t="str">
        <f>IF(AND('Mapa final'!$AA$24="Alta",'Mapa final'!$AC$24="Moderado"),CONCATENATE("R3C",'Mapa final'!$Q$24),"")</f>
        <v/>
      </c>
      <c r="Z18" s="53" t="str">
        <f>IF(AND('Mapa final'!$AA$25="Alta",'Mapa final'!$AC$25="Moderado"),CONCATENATE("R3C",'Mapa final'!$Q$25),"")</f>
        <v/>
      </c>
      <c r="AA18" s="54" t="str">
        <f>IF(AND('Mapa final'!$AA$26="Alta",'Mapa final'!$AC$26="Moderado"),CONCATENATE("R3C",'Mapa final'!$Q$26),"")</f>
        <v/>
      </c>
      <c r="AB18" s="52" t="str">
        <f>IF(AND('Mapa final'!$AA$21="Alta",'Mapa final'!$AC$21="Mayor"),CONCATENATE("R3C",'Mapa final'!$Q$21),"")</f>
        <v/>
      </c>
      <c r="AC18" s="53" t="str">
        <f>IF(AND('Mapa final'!$AA$22="Alta",'Mapa final'!$AC$22="Mayor"),CONCATENATE("R3C",'Mapa final'!$Q$22),"")</f>
        <v/>
      </c>
      <c r="AD18" s="53" t="str">
        <f>IF(AND('Mapa final'!$AA$23="Alta",'Mapa final'!$AC$23="Mayor"),CONCATENATE("R3C",'Mapa final'!$Q$23),"")</f>
        <v/>
      </c>
      <c r="AE18" s="53" t="str">
        <f>IF(AND('Mapa final'!$AA$24="Alta",'Mapa final'!$AC$24="Mayor"),CONCATENATE("R3C",'Mapa final'!$Q$24),"")</f>
        <v/>
      </c>
      <c r="AF18" s="53" t="str">
        <f>IF(AND('Mapa final'!$AA$25="Alta",'Mapa final'!$AC$25="Mayor"),CONCATENATE("R3C",'Mapa final'!$Q$25),"")</f>
        <v/>
      </c>
      <c r="AG18" s="54" t="str">
        <f>IF(AND('Mapa final'!$AA$26="Alta",'Mapa final'!$AC$26="Mayor"),CONCATENATE("R3C",'Mapa final'!$Q$26),"")</f>
        <v/>
      </c>
      <c r="AH18" s="55" t="str">
        <f>IF(AND('Mapa final'!$AA$21="Alta",'Mapa final'!$AC$21="Catastrófico"),CONCATENATE("R3C",'Mapa final'!$Q$21),"")</f>
        <v/>
      </c>
      <c r="AI18" s="56" t="str">
        <f>IF(AND('Mapa final'!$AA$22="Alta",'Mapa final'!$AC$22="Catastrófico"),CONCATENATE("R3C",'Mapa final'!$Q$22),"")</f>
        <v/>
      </c>
      <c r="AJ18" s="56" t="str">
        <f>IF(AND('Mapa final'!$AA$23="Alta",'Mapa final'!$AC$23="Catastrófico"),CONCATENATE("R3C",'Mapa final'!$Q$23),"")</f>
        <v/>
      </c>
      <c r="AK18" s="56" t="str">
        <f>IF(AND('Mapa final'!$AA$24="Alta",'Mapa final'!$AC$24="Catastrófico"),CONCATENATE("R3C",'Mapa final'!$Q$24),"")</f>
        <v/>
      </c>
      <c r="AL18" s="56" t="str">
        <f>IF(AND('Mapa final'!$AA$25="Alta",'Mapa final'!$AC$25="Catastrófico"),CONCATENATE("R3C",'Mapa final'!$Q$25),"")</f>
        <v/>
      </c>
      <c r="AM18" s="57" t="str">
        <f>IF(AND('Mapa final'!$AA$26="Alta",'Mapa final'!$AC$26="Catastrófico"),CONCATENATE("R3C",'Mapa final'!$Q$26),"")</f>
        <v/>
      </c>
      <c r="AN18" s="84"/>
      <c r="AO18" s="373"/>
      <c r="AP18" s="374"/>
      <c r="AQ18" s="374"/>
      <c r="AR18" s="374"/>
      <c r="AS18" s="374"/>
      <c r="AT18" s="375"/>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82"/>
      <c r="C19" s="282"/>
      <c r="D19" s="283"/>
      <c r="E19" s="383"/>
      <c r="F19" s="384"/>
      <c r="G19" s="384"/>
      <c r="H19" s="384"/>
      <c r="I19" s="382"/>
      <c r="J19" s="68" t="str">
        <f>IF(AND('Mapa final'!$AA$27="Alta",'Mapa final'!$AC$27="Leve"),CONCATENATE("R4C",'Mapa final'!$Q$27),"")</f>
        <v/>
      </c>
      <c r="K19" s="69" t="str">
        <f>IF(AND('Mapa final'!$AA$28="Alta",'Mapa final'!$AC$28="Leve"),CONCATENATE("R4C",'Mapa final'!$Q$28),"")</f>
        <v/>
      </c>
      <c r="L19" s="69" t="str">
        <f>IF(AND('Mapa final'!$AA$29="Alta",'Mapa final'!$AC$29="Leve"),CONCATENATE("R4C",'Mapa final'!$Q$29),"")</f>
        <v/>
      </c>
      <c r="M19" s="69" t="str">
        <f>IF(AND('Mapa final'!$AA$30="Alta",'Mapa final'!$AC$30="Leve"),CONCATENATE("R4C",'Mapa final'!$Q$30),"")</f>
        <v/>
      </c>
      <c r="N19" s="69" t="str">
        <f>IF(AND('Mapa final'!$AA$31="Alta",'Mapa final'!$AC$31="Leve"),CONCATENATE("R4C",'Mapa final'!$Q$31),"")</f>
        <v/>
      </c>
      <c r="O19" s="70" t="str">
        <f>IF(AND('Mapa final'!$AA$32="Alta",'Mapa final'!$AC$32="Leve"),CONCATENATE("R4C",'Mapa final'!$Q$32),"")</f>
        <v/>
      </c>
      <c r="P19" s="68" t="str">
        <f>IF(AND('Mapa final'!$AA$27="Alta",'Mapa final'!$AC$27="Menor"),CONCATENATE("R4C",'Mapa final'!$Q$27),"")</f>
        <v/>
      </c>
      <c r="Q19" s="69" t="str">
        <f>IF(AND('Mapa final'!$AA$28="Alta",'Mapa final'!$AC$28="Menor"),CONCATENATE("R4C",'Mapa final'!$Q$28),"")</f>
        <v/>
      </c>
      <c r="R19" s="69" t="str">
        <f>IF(AND('Mapa final'!$AA$29="Alta",'Mapa final'!$AC$29="Menor"),CONCATENATE("R4C",'Mapa final'!$Q$29),"")</f>
        <v/>
      </c>
      <c r="S19" s="69" t="str">
        <f>IF(AND('Mapa final'!$AA$30="Alta",'Mapa final'!$AC$30="Menor"),CONCATENATE("R4C",'Mapa final'!$Q$30),"")</f>
        <v/>
      </c>
      <c r="T19" s="69" t="str">
        <f>IF(AND('Mapa final'!$AA$31="Alta",'Mapa final'!$AC$31="Menor"),CONCATENATE("R4C",'Mapa final'!$Q$31),"")</f>
        <v/>
      </c>
      <c r="U19" s="70" t="str">
        <f>IF(AND('Mapa final'!$AA$32="Alta",'Mapa final'!$AC$32="Menor"),CONCATENATE("R4C",'Mapa final'!$Q$32),"")</f>
        <v/>
      </c>
      <c r="V19" s="52" t="str">
        <f>IF(AND('Mapa final'!$AA$27="Alta",'Mapa final'!$AC$27="Moderado"),CONCATENATE("R4C",'Mapa final'!$Q$27),"")</f>
        <v/>
      </c>
      <c r="W19" s="53" t="str">
        <f>IF(AND('Mapa final'!$AA$28="Alta",'Mapa final'!$AC$28="Moderado"),CONCATENATE("R4C",'Mapa final'!$Q$28),"")</f>
        <v/>
      </c>
      <c r="X19" s="58" t="str">
        <f>IF(AND('Mapa final'!$AA$29="Alta",'Mapa final'!$AC$29="Moderado"),CONCATENATE("R4C",'Mapa final'!$Q$29),"")</f>
        <v/>
      </c>
      <c r="Y19" s="58" t="str">
        <f>IF(AND('Mapa final'!$AA$30="Alta",'Mapa final'!$AC$30="Moderado"),CONCATENATE("R4C",'Mapa final'!$Q$30),"")</f>
        <v/>
      </c>
      <c r="Z19" s="58" t="str">
        <f>IF(AND('Mapa final'!$AA$31="Alta",'Mapa final'!$AC$31="Moderado"),CONCATENATE("R4C",'Mapa final'!$Q$31),"")</f>
        <v/>
      </c>
      <c r="AA19" s="54" t="str">
        <f>IF(AND('Mapa final'!$AA$32="Alta",'Mapa final'!$AC$32="Moderado"),CONCATENATE("R4C",'Mapa final'!$Q$32),"")</f>
        <v/>
      </c>
      <c r="AB19" s="52" t="str">
        <f>IF(AND('Mapa final'!$AA$27="Alta",'Mapa final'!$AC$27="Mayor"),CONCATENATE("R4C",'Mapa final'!$Q$27),"")</f>
        <v/>
      </c>
      <c r="AC19" s="53" t="str">
        <f>IF(AND('Mapa final'!$AA$28="Alta",'Mapa final'!$AC$28="Mayor"),CONCATENATE("R4C",'Mapa final'!$Q$28),"")</f>
        <v/>
      </c>
      <c r="AD19" s="58" t="str">
        <f>IF(AND('Mapa final'!$AA$29="Alta",'Mapa final'!$AC$29="Mayor"),CONCATENATE("R4C",'Mapa final'!$Q$29),"")</f>
        <v/>
      </c>
      <c r="AE19" s="58" t="str">
        <f>IF(AND('Mapa final'!$AA$30="Alta",'Mapa final'!$AC$30="Mayor"),CONCATENATE("R4C",'Mapa final'!$Q$30),"")</f>
        <v/>
      </c>
      <c r="AF19" s="58" t="str">
        <f>IF(AND('Mapa final'!$AA$31="Alta",'Mapa final'!$AC$31="Mayor"),CONCATENATE("R4C",'Mapa final'!$Q$31),"")</f>
        <v/>
      </c>
      <c r="AG19" s="54" t="str">
        <f>IF(AND('Mapa final'!$AA$32="Alta",'Mapa final'!$AC$32="Mayor"),CONCATENATE("R4C",'Mapa final'!$Q$32),"")</f>
        <v/>
      </c>
      <c r="AH19" s="55" t="str">
        <f>IF(AND('Mapa final'!$AA$27="Alta",'Mapa final'!$AC$27="Catastrófico"),CONCATENATE("R4C",'Mapa final'!$Q$27),"")</f>
        <v/>
      </c>
      <c r="AI19" s="56" t="str">
        <f>IF(AND('Mapa final'!$AA$28="Alta",'Mapa final'!$AC$28="Catastrófico"),CONCATENATE("R4C",'Mapa final'!$Q$28),"")</f>
        <v/>
      </c>
      <c r="AJ19" s="56" t="str">
        <f>IF(AND('Mapa final'!$AA$29="Alta",'Mapa final'!$AC$29="Catastrófico"),CONCATENATE("R4C",'Mapa final'!$Q$29),"")</f>
        <v/>
      </c>
      <c r="AK19" s="56" t="str">
        <f>IF(AND('Mapa final'!$AA$30="Alta",'Mapa final'!$AC$30="Catastrófico"),CONCATENATE("R4C",'Mapa final'!$Q$30),"")</f>
        <v/>
      </c>
      <c r="AL19" s="56" t="str">
        <f>IF(AND('Mapa final'!$AA$31="Alta",'Mapa final'!$AC$31="Catastrófico"),CONCATENATE("R4C",'Mapa final'!$Q$31),"")</f>
        <v/>
      </c>
      <c r="AM19" s="57" t="str">
        <f>IF(AND('Mapa final'!$AA$32="Alta",'Mapa final'!$AC$32="Catastrófico"),CONCATENATE("R4C",'Mapa final'!$Q$32),"")</f>
        <v/>
      </c>
      <c r="AN19" s="84"/>
      <c r="AO19" s="373"/>
      <c r="AP19" s="374"/>
      <c r="AQ19" s="374"/>
      <c r="AR19" s="374"/>
      <c r="AS19" s="374"/>
      <c r="AT19" s="375"/>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82"/>
      <c r="C20" s="282"/>
      <c r="D20" s="283"/>
      <c r="E20" s="383"/>
      <c r="F20" s="384"/>
      <c r="G20" s="384"/>
      <c r="H20" s="384"/>
      <c r="I20" s="382"/>
      <c r="J20" s="68" t="str">
        <f>IF(AND('Mapa final'!$AA$33="Alta",'Mapa final'!$AC$33="Leve"),CONCATENATE("R5C",'Mapa final'!$Q$33),"")</f>
        <v/>
      </c>
      <c r="K20" s="69" t="str">
        <f>IF(AND('Mapa final'!$AA$34="Alta",'Mapa final'!$AC$34="Leve"),CONCATENATE("R5C",'Mapa final'!$Q$34),"")</f>
        <v/>
      </c>
      <c r="L20" s="69" t="str">
        <f>IF(AND('Mapa final'!$AA$35="Alta",'Mapa final'!$AC$35="Leve"),CONCATENATE("R5C",'Mapa final'!$Q$35),"")</f>
        <v/>
      </c>
      <c r="M20" s="69" t="str">
        <f>IF(AND('Mapa final'!$AA$36="Alta",'Mapa final'!$AC$36="Leve"),CONCATENATE("R5C",'Mapa final'!$Q$36),"")</f>
        <v/>
      </c>
      <c r="N20" s="69" t="str">
        <f>IF(AND('Mapa final'!$AA$37="Alta",'Mapa final'!$AC$37="Leve"),CONCATENATE("R5C",'Mapa final'!$Q$37),"")</f>
        <v/>
      </c>
      <c r="O20" s="70" t="str">
        <f>IF(AND('Mapa final'!$AA$38="Alta",'Mapa final'!$AC$38="Leve"),CONCATENATE("R5C",'Mapa final'!$Q$38),"")</f>
        <v/>
      </c>
      <c r="P20" s="68" t="str">
        <f>IF(AND('Mapa final'!$AA$33="Alta",'Mapa final'!$AC$33="Menor"),CONCATENATE("R5C",'Mapa final'!$Q$33),"")</f>
        <v/>
      </c>
      <c r="Q20" s="69" t="str">
        <f>IF(AND('Mapa final'!$AA$34="Alta",'Mapa final'!$AC$34="Menor"),CONCATENATE("R5C",'Mapa final'!$Q$34),"")</f>
        <v/>
      </c>
      <c r="R20" s="69" t="str">
        <f>IF(AND('Mapa final'!$AA$35="Alta",'Mapa final'!$AC$35="Menor"),CONCATENATE("R5C",'Mapa final'!$Q$35),"")</f>
        <v/>
      </c>
      <c r="S20" s="69" t="str">
        <f>IF(AND('Mapa final'!$AA$36="Alta",'Mapa final'!$AC$36="Menor"),CONCATENATE("R5C",'Mapa final'!$Q$36),"")</f>
        <v/>
      </c>
      <c r="T20" s="69" t="str">
        <f>IF(AND('Mapa final'!$AA$37="Alta",'Mapa final'!$AC$37="Menor"),CONCATENATE("R5C",'Mapa final'!$Q$37),"")</f>
        <v/>
      </c>
      <c r="U20" s="70" t="str">
        <f>IF(AND('Mapa final'!$AA$38="Alta",'Mapa final'!$AC$38="Menor"),CONCATENATE("R5C",'Mapa final'!$Q$38),"")</f>
        <v/>
      </c>
      <c r="V20" s="52" t="str">
        <f>IF(AND('Mapa final'!$AA$33="Alta",'Mapa final'!$AC$33="Moderado"),CONCATENATE("R5C",'Mapa final'!$Q$33),"")</f>
        <v/>
      </c>
      <c r="W20" s="53" t="str">
        <f>IF(AND('Mapa final'!$AA$34="Alta",'Mapa final'!$AC$34="Moderado"),CONCATENATE("R5C",'Mapa final'!$Q$34),"")</f>
        <v/>
      </c>
      <c r="X20" s="58" t="str">
        <f>IF(AND('Mapa final'!$AA$35="Alta",'Mapa final'!$AC$35="Moderado"),CONCATENATE("R5C",'Mapa final'!$Q$35),"")</f>
        <v/>
      </c>
      <c r="Y20" s="58" t="str">
        <f>IF(AND('Mapa final'!$AA$36="Alta",'Mapa final'!$AC$36="Moderado"),CONCATENATE("R5C",'Mapa final'!$Q$36),"")</f>
        <v/>
      </c>
      <c r="Z20" s="58" t="str">
        <f>IF(AND('Mapa final'!$AA$37="Alta",'Mapa final'!$AC$37="Moderado"),CONCATENATE("R5C",'Mapa final'!$Q$37),"")</f>
        <v/>
      </c>
      <c r="AA20" s="54" t="str">
        <f>IF(AND('Mapa final'!$AA$38="Alta",'Mapa final'!$AC$38="Moderado"),CONCATENATE("R5C",'Mapa final'!$Q$38),"")</f>
        <v/>
      </c>
      <c r="AB20" s="52" t="str">
        <f>IF(AND('Mapa final'!$AA$33="Alta",'Mapa final'!$AC$33="Mayor"),CONCATENATE("R5C",'Mapa final'!$Q$33),"")</f>
        <v/>
      </c>
      <c r="AC20" s="53" t="str">
        <f>IF(AND('Mapa final'!$AA$34="Alta",'Mapa final'!$AC$34="Mayor"),CONCATENATE("R5C",'Mapa final'!$Q$34),"")</f>
        <v/>
      </c>
      <c r="AD20" s="58" t="str">
        <f>IF(AND('Mapa final'!$AA$35="Alta",'Mapa final'!$AC$35="Mayor"),CONCATENATE("R5C",'Mapa final'!$Q$35),"")</f>
        <v/>
      </c>
      <c r="AE20" s="58" t="str">
        <f>IF(AND('Mapa final'!$AA$36="Alta",'Mapa final'!$AC$36="Mayor"),CONCATENATE("R5C",'Mapa final'!$Q$36),"")</f>
        <v/>
      </c>
      <c r="AF20" s="58" t="str">
        <f>IF(AND('Mapa final'!$AA$37="Alta",'Mapa final'!$AC$37="Mayor"),CONCATENATE("R5C",'Mapa final'!$Q$37),"")</f>
        <v/>
      </c>
      <c r="AG20" s="54" t="str">
        <f>IF(AND('Mapa final'!$AA$38="Alta",'Mapa final'!$AC$38="Mayor"),CONCATENATE("R5C",'Mapa final'!$Q$38),"")</f>
        <v/>
      </c>
      <c r="AH20" s="55" t="str">
        <f>IF(AND('Mapa final'!$AA$33="Alta",'Mapa final'!$AC$33="Catastrófico"),CONCATENATE("R5C",'Mapa final'!$Q$33),"")</f>
        <v/>
      </c>
      <c r="AI20" s="56" t="str">
        <f>IF(AND('Mapa final'!$AA$34="Alta",'Mapa final'!$AC$34="Catastrófico"),CONCATENATE("R5C",'Mapa final'!$Q$34),"")</f>
        <v/>
      </c>
      <c r="AJ20" s="56" t="str">
        <f>IF(AND('Mapa final'!$AA$35="Alta",'Mapa final'!$AC$35="Catastrófico"),CONCATENATE("R5C",'Mapa final'!$Q$35),"")</f>
        <v/>
      </c>
      <c r="AK20" s="56" t="str">
        <f>IF(AND('Mapa final'!$AA$36="Alta",'Mapa final'!$AC$36="Catastrófico"),CONCATENATE("R5C",'Mapa final'!$Q$36),"")</f>
        <v/>
      </c>
      <c r="AL20" s="56" t="str">
        <f>IF(AND('Mapa final'!$AA$37="Alta",'Mapa final'!$AC$37="Catastrófico"),CONCATENATE("R5C",'Mapa final'!$Q$37),"")</f>
        <v/>
      </c>
      <c r="AM20" s="57" t="str">
        <f>IF(AND('Mapa final'!$AA$38="Alta",'Mapa final'!$AC$38="Catastrófico"),CONCATENATE("R5C",'Mapa final'!$Q$38),"")</f>
        <v/>
      </c>
      <c r="AN20" s="84"/>
      <c r="AO20" s="373"/>
      <c r="AP20" s="374"/>
      <c r="AQ20" s="374"/>
      <c r="AR20" s="374"/>
      <c r="AS20" s="374"/>
      <c r="AT20" s="375"/>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82"/>
      <c r="C21" s="282"/>
      <c r="D21" s="283"/>
      <c r="E21" s="383"/>
      <c r="F21" s="384"/>
      <c r="G21" s="384"/>
      <c r="H21" s="384"/>
      <c r="I21" s="382"/>
      <c r="J21" s="68" t="str">
        <f>IF(AND('Mapa final'!$AA$39="Alta",'Mapa final'!$AC$39="Leve"),CONCATENATE("R6C",'Mapa final'!$Q$39),"")</f>
        <v/>
      </c>
      <c r="K21" s="69" t="str">
        <f>IF(AND('Mapa final'!$AA$40="Alta",'Mapa final'!$AC$40="Leve"),CONCATENATE("R6C",'Mapa final'!$Q$40),"")</f>
        <v/>
      </c>
      <c r="L21" s="69" t="str">
        <f>IF(AND('Mapa final'!$AA$41="Alta",'Mapa final'!$AC$41="Leve"),CONCATENATE("R6C",'Mapa final'!$Q$41),"")</f>
        <v/>
      </c>
      <c r="M21" s="69" t="str">
        <f>IF(AND('Mapa final'!$AA$42="Alta",'Mapa final'!$AC$42="Leve"),CONCATENATE("R6C",'Mapa final'!$Q$42),"")</f>
        <v/>
      </c>
      <c r="N21" s="69" t="str">
        <f>IF(AND('Mapa final'!$AA$43="Alta",'Mapa final'!$AC$43="Leve"),CONCATENATE("R6C",'Mapa final'!$Q$43),"")</f>
        <v/>
      </c>
      <c r="O21" s="70" t="str">
        <f>IF(AND('Mapa final'!$AA$44="Alta",'Mapa final'!$AC$44="Leve"),CONCATENATE("R6C",'Mapa final'!$Q$44),"")</f>
        <v/>
      </c>
      <c r="P21" s="68" t="str">
        <f>IF(AND('Mapa final'!$AA$39="Alta",'Mapa final'!$AC$39="Menor"),CONCATENATE("R6C",'Mapa final'!$Q$39),"")</f>
        <v/>
      </c>
      <c r="Q21" s="69" t="str">
        <f>IF(AND('Mapa final'!$AA$40="Alta",'Mapa final'!$AC$40="Menor"),CONCATENATE("R6C",'Mapa final'!$Q$40),"")</f>
        <v/>
      </c>
      <c r="R21" s="69" t="str">
        <f>IF(AND('Mapa final'!$AA$41="Alta",'Mapa final'!$AC$41="Menor"),CONCATENATE("R6C",'Mapa final'!$Q$41),"")</f>
        <v/>
      </c>
      <c r="S21" s="69" t="str">
        <f>IF(AND('Mapa final'!$AA$42="Alta",'Mapa final'!$AC$42="Menor"),CONCATENATE("R6C",'Mapa final'!$Q$42),"")</f>
        <v/>
      </c>
      <c r="T21" s="69" t="str">
        <f>IF(AND('Mapa final'!$AA$43="Alta",'Mapa final'!$AC$43="Menor"),CONCATENATE("R6C",'Mapa final'!$Q$43),"")</f>
        <v/>
      </c>
      <c r="U21" s="70" t="str">
        <f>IF(AND('Mapa final'!$AA$44="Alta",'Mapa final'!$AC$44="Menor"),CONCATENATE("R6C",'Mapa final'!$Q$44),"")</f>
        <v/>
      </c>
      <c r="V21" s="52" t="str">
        <f>IF(AND('Mapa final'!$AA$39="Alta",'Mapa final'!$AC$39="Moderado"),CONCATENATE("R6C",'Mapa final'!$Q$39),"")</f>
        <v/>
      </c>
      <c r="W21" s="53" t="str">
        <f>IF(AND('Mapa final'!$AA$40="Alta",'Mapa final'!$AC$40="Moderado"),CONCATENATE("R6C",'Mapa final'!$Q$40),"")</f>
        <v/>
      </c>
      <c r="X21" s="58" t="str">
        <f>IF(AND('Mapa final'!$AA$41="Alta",'Mapa final'!$AC$41="Moderado"),CONCATENATE("R6C",'Mapa final'!$Q$41),"")</f>
        <v/>
      </c>
      <c r="Y21" s="58" t="str">
        <f>IF(AND('Mapa final'!$AA$42="Alta",'Mapa final'!$AC$42="Moderado"),CONCATENATE("R6C",'Mapa final'!$Q$42),"")</f>
        <v/>
      </c>
      <c r="Z21" s="58" t="str">
        <f>IF(AND('Mapa final'!$AA$43="Alta",'Mapa final'!$AC$43="Moderado"),CONCATENATE("R6C",'Mapa final'!$Q$43),"")</f>
        <v/>
      </c>
      <c r="AA21" s="54" t="str">
        <f>IF(AND('Mapa final'!$AA$44="Alta",'Mapa final'!$AC$44="Moderado"),CONCATENATE("R6C",'Mapa final'!$Q$44),"")</f>
        <v/>
      </c>
      <c r="AB21" s="52" t="str">
        <f>IF(AND('Mapa final'!$AA$39="Alta",'Mapa final'!$AC$39="Mayor"),CONCATENATE("R6C",'Mapa final'!$Q$39),"")</f>
        <v/>
      </c>
      <c r="AC21" s="53" t="str">
        <f>IF(AND('Mapa final'!$AA$40="Alta",'Mapa final'!$AC$40="Mayor"),CONCATENATE("R6C",'Mapa final'!$Q$40),"")</f>
        <v/>
      </c>
      <c r="AD21" s="58" t="str">
        <f>IF(AND('Mapa final'!$AA$41="Alta",'Mapa final'!$AC$41="Mayor"),CONCATENATE("R6C",'Mapa final'!$Q$41),"")</f>
        <v/>
      </c>
      <c r="AE21" s="58" t="str">
        <f>IF(AND('Mapa final'!$AA$42="Alta",'Mapa final'!$AC$42="Mayor"),CONCATENATE("R6C",'Mapa final'!$Q$42),"")</f>
        <v/>
      </c>
      <c r="AF21" s="58" t="str">
        <f>IF(AND('Mapa final'!$AA$43="Alta",'Mapa final'!$AC$43="Mayor"),CONCATENATE("R6C",'Mapa final'!$Q$43),"")</f>
        <v/>
      </c>
      <c r="AG21" s="54" t="str">
        <f>IF(AND('Mapa final'!$AA$44="Alta",'Mapa final'!$AC$44="Mayor"),CONCATENATE("R6C",'Mapa final'!$Q$44),"")</f>
        <v/>
      </c>
      <c r="AH21" s="55" t="str">
        <f>IF(AND('Mapa final'!$AA$39="Alta",'Mapa final'!$AC$39="Catastrófico"),CONCATENATE("R6C",'Mapa final'!$Q$39),"")</f>
        <v/>
      </c>
      <c r="AI21" s="56" t="str">
        <f>IF(AND('Mapa final'!$AA$40="Alta",'Mapa final'!$AC$40="Catastrófico"),CONCATENATE("R6C",'Mapa final'!$Q$40),"")</f>
        <v/>
      </c>
      <c r="AJ21" s="56" t="str">
        <f>IF(AND('Mapa final'!$AA$41="Alta",'Mapa final'!$AC$41="Catastrófico"),CONCATENATE("R6C",'Mapa final'!$Q$41),"")</f>
        <v/>
      </c>
      <c r="AK21" s="56" t="str">
        <f>IF(AND('Mapa final'!$AA$42="Alta",'Mapa final'!$AC$42="Catastrófico"),CONCATENATE("R6C",'Mapa final'!$Q$42),"")</f>
        <v/>
      </c>
      <c r="AL21" s="56" t="str">
        <f>IF(AND('Mapa final'!$AA$43="Alta",'Mapa final'!$AC$43="Catastrófico"),CONCATENATE("R6C",'Mapa final'!$Q$43),"")</f>
        <v/>
      </c>
      <c r="AM21" s="57" t="str">
        <f>IF(AND('Mapa final'!$AA$44="Alta",'Mapa final'!$AC$44="Catastrófico"),CONCATENATE("R6C",'Mapa final'!$Q$44),"")</f>
        <v/>
      </c>
      <c r="AN21" s="84"/>
      <c r="AO21" s="373"/>
      <c r="AP21" s="374"/>
      <c r="AQ21" s="374"/>
      <c r="AR21" s="374"/>
      <c r="AS21" s="374"/>
      <c r="AT21" s="375"/>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82"/>
      <c r="C22" s="282"/>
      <c r="D22" s="283"/>
      <c r="E22" s="383"/>
      <c r="F22" s="384"/>
      <c r="G22" s="384"/>
      <c r="H22" s="384"/>
      <c r="I22" s="382"/>
      <c r="J22" s="68" t="str">
        <f>IF(AND('Mapa final'!$AA$45="Alta",'Mapa final'!$AC$45="Leve"),CONCATENATE("R7C",'Mapa final'!$Q$45),"")</f>
        <v/>
      </c>
      <c r="K22" s="69" t="str">
        <f>IF(AND('Mapa final'!$AA$46="Alta",'Mapa final'!$AC$46="Leve"),CONCATENATE("R7C",'Mapa final'!$Q$46),"")</f>
        <v/>
      </c>
      <c r="L22" s="69" t="str">
        <f>IF(AND('Mapa final'!$AA$47="Alta",'Mapa final'!$AC$47="Leve"),CONCATENATE("R7C",'Mapa final'!$Q$47),"")</f>
        <v/>
      </c>
      <c r="M22" s="69" t="str">
        <f>IF(AND('Mapa final'!$AA$48="Alta",'Mapa final'!$AC$48="Leve"),CONCATENATE("R7C",'Mapa final'!$Q$48),"")</f>
        <v/>
      </c>
      <c r="N22" s="69" t="str">
        <f>IF(AND('Mapa final'!$AA$49="Alta",'Mapa final'!$AC$49="Leve"),CONCATENATE("R7C",'Mapa final'!$Q$49),"")</f>
        <v/>
      </c>
      <c r="O22" s="70" t="str">
        <f>IF(AND('Mapa final'!$AA$50="Alta",'Mapa final'!$AC$50="Leve"),CONCATENATE("R7C",'Mapa final'!$Q$50),"")</f>
        <v/>
      </c>
      <c r="P22" s="68" t="str">
        <f>IF(AND('Mapa final'!$AA$45="Alta",'Mapa final'!$AC$45="Menor"),CONCATENATE("R7C",'Mapa final'!$Q$45),"")</f>
        <v/>
      </c>
      <c r="Q22" s="69" t="str">
        <f>IF(AND('Mapa final'!$AA$46="Alta",'Mapa final'!$AC$46="Menor"),CONCATENATE("R7C",'Mapa final'!$Q$46),"")</f>
        <v/>
      </c>
      <c r="R22" s="69" t="str">
        <f>IF(AND('Mapa final'!$AA$47="Alta",'Mapa final'!$AC$47="Menor"),CONCATENATE("R7C",'Mapa final'!$Q$47),"")</f>
        <v/>
      </c>
      <c r="S22" s="69" t="str">
        <f>IF(AND('Mapa final'!$AA$48="Alta",'Mapa final'!$AC$48="Menor"),CONCATENATE("R7C",'Mapa final'!$Q$48),"")</f>
        <v/>
      </c>
      <c r="T22" s="69" t="str">
        <f>IF(AND('Mapa final'!$AA$49="Alta",'Mapa final'!$AC$49="Menor"),CONCATENATE("R7C",'Mapa final'!$Q$49),"")</f>
        <v/>
      </c>
      <c r="U22" s="70" t="str">
        <f>IF(AND('Mapa final'!$AA$50="Alta",'Mapa final'!$AC$50="Menor"),CONCATENATE("R7C",'Mapa final'!$Q$50),"")</f>
        <v/>
      </c>
      <c r="V22" s="52" t="str">
        <f>IF(AND('Mapa final'!$AA$45="Alta",'Mapa final'!$AC$45="Moderado"),CONCATENATE("R7C",'Mapa final'!$Q$45),"")</f>
        <v/>
      </c>
      <c r="W22" s="53" t="str">
        <f>IF(AND('Mapa final'!$AA$46="Alta",'Mapa final'!$AC$46="Moderado"),CONCATENATE("R7C",'Mapa final'!$Q$46),"")</f>
        <v/>
      </c>
      <c r="X22" s="58" t="str">
        <f>IF(AND('Mapa final'!$AA$47="Alta",'Mapa final'!$AC$47="Moderado"),CONCATENATE("R7C",'Mapa final'!$Q$47),"")</f>
        <v/>
      </c>
      <c r="Y22" s="58" t="str">
        <f>IF(AND('Mapa final'!$AA$48="Alta",'Mapa final'!$AC$48="Moderado"),CONCATENATE("R7C",'Mapa final'!$Q$48),"")</f>
        <v/>
      </c>
      <c r="Z22" s="58" t="str">
        <f>IF(AND('Mapa final'!$AA$49="Alta",'Mapa final'!$AC$49="Moderado"),CONCATENATE("R7C",'Mapa final'!$Q$49),"")</f>
        <v/>
      </c>
      <c r="AA22" s="54" t="str">
        <f>IF(AND('Mapa final'!$AA$50="Alta",'Mapa final'!$AC$50="Moderado"),CONCATENATE("R7C",'Mapa final'!$Q$50),"")</f>
        <v/>
      </c>
      <c r="AB22" s="52" t="str">
        <f>IF(AND('Mapa final'!$AA$45="Alta",'Mapa final'!$AC$45="Mayor"),CONCATENATE("R7C",'Mapa final'!$Q$45),"")</f>
        <v/>
      </c>
      <c r="AC22" s="53" t="str">
        <f>IF(AND('Mapa final'!$AA$46="Alta",'Mapa final'!$AC$46="Mayor"),CONCATENATE("R7C",'Mapa final'!$Q$46),"")</f>
        <v/>
      </c>
      <c r="AD22" s="58" t="str">
        <f>IF(AND('Mapa final'!$AA$47="Alta",'Mapa final'!$AC$47="Mayor"),CONCATENATE("R7C",'Mapa final'!$Q$47),"")</f>
        <v/>
      </c>
      <c r="AE22" s="58" t="str">
        <f>IF(AND('Mapa final'!$AA$48="Alta",'Mapa final'!$AC$48="Mayor"),CONCATENATE("R7C",'Mapa final'!$Q$48),"")</f>
        <v/>
      </c>
      <c r="AF22" s="58" t="str">
        <f>IF(AND('Mapa final'!$AA$49="Alta",'Mapa final'!$AC$49="Mayor"),CONCATENATE("R7C",'Mapa final'!$Q$49),"")</f>
        <v/>
      </c>
      <c r="AG22" s="54" t="str">
        <f>IF(AND('Mapa final'!$AA$50="Alta",'Mapa final'!$AC$50="Mayor"),CONCATENATE("R7C",'Mapa final'!$Q$50),"")</f>
        <v/>
      </c>
      <c r="AH22" s="55" t="str">
        <f>IF(AND('Mapa final'!$AA$45="Alta",'Mapa final'!$AC$45="Catastrófico"),CONCATENATE("R7C",'Mapa final'!$Q$45),"")</f>
        <v/>
      </c>
      <c r="AI22" s="56" t="str">
        <f>IF(AND('Mapa final'!$AA$46="Alta",'Mapa final'!$AC$46="Catastrófico"),CONCATENATE("R7C",'Mapa final'!$Q$46),"")</f>
        <v/>
      </c>
      <c r="AJ22" s="56" t="str">
        <f>IF(AND('Mapa final'!$AA$47="Alta",'Mapa final'!$AC$47="Catastrófico"),CONCATENATE("R7C",'Mapa final'!$Q$47),"")</f>
        <v/>
      </c>
      <c r="AK22" s="56" t="str">
        <f>IF(AND('Mapa final'!$AA$48="Alta",'Mapa final'!$AC$48="Catastrófico"),CONCATENATE("R7C",'Mapa final'!$Q$48),"")</f>
        <v/>
      </c>
      <c r="AL22" s="56" t="str">
        <f>IF(AND('Mapa final'!$AA$49="Alta",'Mapa final'!$AC$49="Catastrófico"),CONCATENATE("R7C",'Mapa final'!$Q$49),"")</f>
        <v/>
      </c>
      <c r="AM22" s="57" t="str">
        <f>IF(AND('Mapa final'!$AA$50="Alta",'Mapa final'!$AC$50="Catastrófico"),CONCATENATE("R7C",'Mapa final'!$Q$50),"")</f>
        <v/>
      </c>
      <c r="AN22" s="84"/>
      <c r="AO22" s="373"/>
      <c r="AP22" s="374"/>
      <c r="AQ22" s="374"/>
      <c r="AR22" s="374"/>
      <c r="AS22" s="374"/>
      <c r="AT22" s="375"/>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82"/>
      <c r="C23" s="282"/>
      <c r="D23" s="283"/>
      <c r="E23" s="383"/>
      <c r="F23" s="384"/>
      <c r="G23" s="384"/>
      <c r="H23" s="384"/>
      <c r="I23" s="382"/>
      <c r="J23" s="68" t="str">
        <f>IF(AND('Mapa final'!$AA$51="Alta",'Mapa final'!$AC$51="Leve"),CONCATENATE("R8C",'Mapa final'!$Q$51),"")</f>
        <v/>
      </c>
      <c r="K23" s="69" t="str">
        <f>IF(AND('Mapa final'!$AA$52="Alta",'Mapa final'!$AC$52="Leve"),CONCATENATE("R8C",'Mapa final'!$Q$52),"")</f>
        <v/>
      </c>
      <c r="L23" s="69" t="str">
        <f>IF(AND('Mapa final'!$AA$53="Alta",'Mapa final'!$AC$53="Leve"),CONCATENATE("R8C",'Mapa final'!$Q$53),"")</f>
        <v/>
      </c>
      <c r="M23" s="69" t="str">
        <f>IF(AND('Mapa final'!$AA$54="Alta",'Mapa final'!$AC$54="Leve"),CONCATENATE("R8C",'Mapa final'!$Q$54),"")</f>
        <v/>
      </c>
      <c r="N23" s="69" t="str">
        <f>IF(AND('Mapa final'!$AA$55="Alta",'Mapa final'!$AC$55="Leve"),CONCATENATE("R8C",'Mapa final'!$Q$55),"")</f>
        <v/>
      </c>
      <c r="O23" s="70" t="str">
        <f>IF(AND('Mapa final'!$AA$56="Alta",'Mapa final'!$AC$56="Leve"),CONCATENATE("R8C",'Mapa final'!$Q$56),"")</f>
        <v/>
      </c>
      <c r="P23" s="68" t="str">
        <f>IF(AND('Mapa final'!$AA$51="Alta",'Mapa final'!$AC$51="Menor"),CONCATENATE("R8C",'Mapa final'!$Q$51),"")</f>
        <v/>
      </c>
      <c r="Q23" s="69" t="str">
        <f>IF(AND('Mapa final'!$AA$52="Alta",'Mapa final'!$AC$52="Menor"),CONCATENATE("R8C",'Mapa final'!$Q$52),"")</f>
        <v/>
      </c>
      <c r="R23" s="69" t="str">
        <f>IF(AND('Mapa final'!$AA$53="Alta",'Mapa final'!$AC$53="Menor"),CONCATENATE("R8C",'Mapa final'!$Q$53),"")</f>
        <v/>
      </c>
      <c r="S23" s="69" t="str">
        <f>IF(AND('Mapa final'!$AA$54="Alta",'Mapa final'!$AC$54="Menor"),CONCATENATE("R8C",'Mapa final'!$Q$54),"")</f>
        <v/>
      </c>
      <c r="T23" s="69" t="str">
        <f>IF(AND('Mapa final'!$AA$55="Alta",'Mapa final'!$AC$55="Menor"),CONCATENATE("R8C",'Mapa final'!$Q$55),"")</f>
        <v/>
      </c>
      <c r="U23" s="70" t="str">
        <f>IF(AND('Mapa final'!$AA$56="Alta",'Mapa final'!$AC$56="Menor"),CONCATENATE("R8C",'Mapa final'!$Q$56),"")</f>
        <v/>
      </c>
      <c r="V23" s="52" t="str">
        <f>IF(AND('Mapa final'!$AA$51="Alta",'Mapa final'!$AC$51="Moderado"),CONCATENATE("R8C",'Mapa final'!$Q$51),"")</f>
        <v/>
      </c>
      <c r="W23" s="53" t="str">
        <f>IF(AND('Mapa final'!$AA$52="Alta",'Mapa final'!$AC$52="Moderado"),CONCATENATE("R8C",'Mapa final'!$Q$52),"")</f>
        <v/>
      </c>
      <c r="X23" s="58" t="str">
        <f>IF(AND('Mapa final'!$AA$53="Alta",'Mapa final'!$AC$53="Moderado"),CONCATENATE("R8C",'Mapa final'!$Q$53),"")</f>
        <v/>
      </c>
      <c r="Y23" s="58" t="str">
        <f>IF(AND('Mapa final'!$AA$54="Alta",'Mapa final'!$AC$54="Moderado"),CONCATENATE("R8C",'Mapa final'!$Q$54),"")</f>
        <v/>
      </c>
      <c r="Z23" s="58" t="str">
        <f>IF(AND('Mapa final'!$AA$55="Alta",'Mapa final'!$AC$55="Moderado"),CONCATENATE("R8C",'Mapa final'!$Q$55),"")</f>
        <v/>
      </c>
      <c r="AA23" s="54" t="str">
        <f>IF(AND('Mapa final'!$AA$56="Alta",'Mapa final'!$AC$56="Moderado"),CONCATENATE("R8C",'Mapa final'!$Q$56),"")</f>
        <v/>
      </c>
      <c r="AB23" s="52" t="str">
        <f>IF(AND('Mapa final'!$AA$51="Alta",'Mapa final'!$AC$51="Mayor"),CONCATENATE("R8C",'Mapa final'!$Q$51),"")</f>
        <v/>
      </c>
      <c r="AC23" s="53" t="str">
        <f>IF(AND('Mapa final'!$AA$52="Alta",'Mapa final'!$AC$52="Mayor"),CONCATENATE("R8C",'Mapa final'!$Q$52),"")</f>
        <v/>
      </c>
      <c r="AD23" s="58" t="str">
        <f>IF(AND('Mapa final'!$AA$53="Alta",'Mapa final'!$AC$53="Mayor"),CONCATENATE("R8C",'Mapa final'!$Q$53),"")</f>
        <v/>
      </c>
      <c r="AE23" s="58" t="str">
        <f>IF(AND('Mapa final'!$AA$54="Alta",'Mapa final'!$AC$54="Mayor"),CONCATENATE("R8C",'Mapa final'!$Q$54),"")</f>
        <v/>
      </c>
      <c r="AF23" s="58" t="str">
        <f>IF(AND('Mapa final'!$AA$55="Alta",'Mapa final'!$AC$55="Mayor"),CONCATENATE("R8C",'Mapa final'!$Q$55),"")</f>
        <v/>
      </c>
      <c r="AG23" s="54" t="str">
        <f>IF(AND('Mapa final'!$AA$56="Alta",'Mapa final'!$AC$56="Mayor"),CONCATENATE("R8C",'Mapa final'!$Q$56),"")</f>
        <v/>
      </c>
      <c r="AH23" s="55" t="str">
        <f>IF(AND('Mapa final'!$AA$51="Alta",'Mapa final'!$AC$51="Catastrófico"),CONCATENATE("R8C",'Mapa final'!$Q$51),"")</f>
        <v/>
      </c>
      <c r="AI23" s="56" t="str">
        <f>IF(AND('Mapa final'!$AA$52="Alta",'Mapa final'!$AC$52="Catastrófico"),CONCATENATE("R8C",'Mapa final'!$Q$52),"")</f>
        <v/>
      </c>
      <c r="AJ23" s="56" t="str">
        <f>IF(AND('Mapa final'!$AA$53="Alta",'Mapa final'!$AC$53="Catastrófico"),CONCATENATE("R8C",'Mapa final'!$Q$53),"")</f>
        <v/>
      </c>
      <c r="AK23" s="56" t="str">
        <f>IF(AND('Mapa final'!$AA$54="Alta",'Mapa final'!$AC$54="Catastrófico"),CONCATENATE("R8C",'Mapa final'!$Q$54),"")</f>
        <v/>
      </c>
      <c r="AL23" s="56" t="str">
        <f>IF(AND('Mapa final'!$AA$55="Alta",'Mapa final'!$AC$55="Catastrófico"),CONCATENATE("R8C",'Mapa final'!$Q$55),"")</f>
        <v/>
      </c>
      <c r="AM23" s="57" t="str">
        <f>IF(AND('Mapa final'!$AA$56="Alta",'Mapa final'!$AC$56="Catastrófico"),CONCATENATE("R8C",'Mapa final'!$Q$56),"")</f>
        <v/>
      </c>
      <c r="AN23" s="84"/>
      <c r="AO23" s="373"/>
      <c r="AP23" s="374"/>
      <c r="AQ23" s="374"/>
      <c r="AR23" s="374"/>
      <c r="AS23" s="374"/>
      <c r="AT23" s="37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82"/>
      <c r="C24" s="282"/>
      <c r="D24" s="283"/>
      <c r="E24" s="383"/>
      <c r="F24" s="384"/>
      <c r="G24" s="384"/>
      <c r="H24" s="384"/>
      <c r="I24" s="382"/>
      <c r="J24" s="68" t="str">
        <f>IF(AND('Mapa final'!$AA$57="Alta",'Mapa final'!$AC$57="Leve"),CONCATENATE("R9C",'Mapa final'!$Q$57),"")</f>
        <v/>
      </c>
      <c r="K24" s="69" t="str">
        <f>IF(AND('Mapa final'!$AA$58="Alta",'Mapa final'!$AC$58="Leve"),CONCATENATE("R9C",'Mapa final'!$Q$58),"")</f>
        <v/>
      </c>
      <c r="L24" s="69" t="str">
        <f>IF(AND('Mapa final'!$AA$59="Alta",'Mapa final'!$AC$59="Leve"),CONCATENATE("R9C",'Mapa final'!$Q$59),"")</f>
        <v/>
      </c>
      <c r="M24" s="69" t="str">
        <f>IF(AND('Mapa final'!$AA$60="Alta",'Mapa final'!$AC$60="Leve"),CONCATENATE("R9C",'Mapa final'!$Q$60),"")</f>
        <v/>
      </c>
      <c r="N24" s="69" t="str">
        <f>IF(AND('Mapa final'!$AA$61="Alta",'Mapa final'!$AC$61="Leve"),CONCATENATE("R9C",'Mapa final'!$Q$61),"")</f>
        <v/>
      </c>
      <c r="O24" s="70" t="str">
        <f>IF(AND('Mapa final'!$AA$62="Alta",'Mapa final'!$AC$62="Leve"),CONCATENATE("R9C",'Mapa final'!$Q$62),"")</f>
        <v/>
      </c>
      <c r="P24" s="68" t="str">
        <f>IF(AND('Mapa final'!$AA$57="Alta",'Mapa final'!$AC$57="Menor"),CONCATENATE("R9C",'Mapa final'!$Q$57),"")</f>
        <v/>
      </c>
      <c r="Q24" s="69" t="str">
        <f>IF(AND('Mapa final'!$AA$58="Alta",'Mapa final'!$AC$58="Menor"),CONCATENATE("R9C",'Mapa final'!$Q$58),"")</f>
        <v/>
      </c>
      <c r="R24" s="69" t="str">
        <f>IF(AND('Mapa final'!$AA$59="Alta",'Mapa final'!$AC$59="Menor"),CONCATENATE("R9C",'Mapa final'!$Q$59),"")</f>
        <v/>
      </c>
      <c r="S24" s="69" t="str">
        <f>IF(AND('Mapa final'!$AA$60="Alta",'Mapa final'!$AC$60="Menor"),CONCATENATE("R9C",'Mapa final'!$Q$60),"")</f>
        <v/>
      </c>
      <c r="T24" s="69" t="str">
        <f>IF(AND('Mapa final'!$AA$61="Alta",'Mapa final'!$AC$61="Menor"),CONCATENATE("R9C",'Mapa final'!$Q$61),"")</f>
        <v/>
      </c>
      <c r="U24" s="70" t="str">
        <f>IF(AND('Mapa final'!$AA$62="Alta",'Mapa final'!$AC$62="Menor"),CONCATENATE("R9C",'Mapa final'!$Q$62),"")</f>
        <v/>
      </c>
      <c r="V24" s="52" t="str">
        <f>IF(AND('Mapa final'!$AA$57="Alta",'Mapa final'!$AC$57="Moderado"),CONCATENATE("R9C",'Mapa final'!$Q$57),"")</f>
        <v/>
      </c>
      <c r="W24" s="53" t="str">
        <f>IF(AND('Mapa final'!$AA$58="Alta",'Mapa final'!$AC$58="Moderado"),CONCATENATE("R9C",'Mapa final'!$Q$58),"")</f>
        <v/>
      </c>
      <c r="X24" s="58" t="str">
        <f>IF(AND('Mapa final'!$AA$59="Alta",'Mapa final'!$AC$59="Moderado"),CONCATENATE("R9C",'Mapa final'!$Q$59),"")</f>
        <v/>
      </c>
      <c r="Y24" s="58" t="str">
        <f>IF(AND('Mapa final'!$AA$60="Alta",'Mapa final'!$AC$60="Moderado"),CONCATENATE("R9C",'Mapa final'!$Q$60),"")</f>
        <v/>
      </c>
      <c r="Z24" s="58" t="str">
        <f>IF(AND('Mapa final'!$AA$61="Alta",'Mapa final'!$AC$61="Moderado"),CONCATENATE("R9C",'Mapa final'!$Q$61),"")</f>
        <v/>
      </c>
      <c r="AA24" s="54" t="str">
        <f>IF(AND('Mapa final'!$AA$62="Alta",'Mapa final'!$AC$62="Moderado"),CONCATENATE("R9C",'Mapa final'!$Q$62),"")</f>
        <v/>
      </c>
      <c r="AB24" s="52" t="str">
        <f>IF(AND('Mapa final'!$AA$57="Alta",'Mapa final'!$AC$57="Mayor"),CONCATENATE("R9C",'Mapa final'!$Q$57),"")</f>
        <v/>
      </c>
      <c r="AC24" s="53" t="str">
        <f>IF(AND('Mapa final'!$AA$58="Alta",'Mapa final'!$AC$58="Mayor"),CONCATENATE("R9C",'Mapa final'!$Q$58),"")</f>
        <v/>
      </c>
      <c r="AD24" s="58" t="str">
        <f>IF(AND('Mapa final'!$AA$59="Alta",'Mapa final'!$AC$59="Mayor"),CONCATENATE("R9C",'Mapa final'!$Q$59),"")</f>
        <v/>
      </c>
      <c r="AE24" s="58" t="str">
        <f>IF(AND('Mapa final'!$AA$60="Alta",'Mapa final'!$AC$60="Mayor"),CONCATENATE("R9C",'Mapa final'!$Q$60),"")</f>
        <v/>
      </c>
      <c r="AF24" s="58" t="str">
        <f>IF(AND('Mapa final'!$AA$61="Alta",'Mapa final'!$AC$61="Mayor"),CONCATENATE("R9C",'Mapa final'!$Q$61),"")</f>
        <v/>
      </c>
      <c r="AG24" s="54" t="str">
        <f>IF(AND('Mapa final'!$AA$62="Alta",'Mapa final'!$AC$62="Mayor"),CONCATENATE("R9C",'Mapa final'!$Q$62),"")</f>
        <v/>
      </c>
      <c r="AH24" s="55" t="str">
        <f>IF(AND('Mapa final'!$AA$57="Alta",'Mapa final'!$AC$57="Catastrófico"),CONCATENATE("R9C",'Mapa final'!$Q$57),"")</f>
        <v/>
      </c>
      <c r="AI24" s="56" t="str">
        <f>IF(AND('Mapa final'!$AA$58="Alta",'Mapa final'!$AC$58="Catastrófico"),CONCATENATE("R9C",'Mapa final'!$Q$58),"")</f>
        <v/>
      </c>
      <c r="AJ24" s="56" t="str">
        <f>IF(AND('Mapa final'!$AA$59="Alta",'Mapa final'!$AC$59="Catastrófico"),CONCATENATE("R9C",'Mapa final'!$Q$59),"")</f>
        <v/>
      </c>
      <c r="AK24" s="56" t="str">
        <f>IF(AND('Mapa final'!$AA$60="Alta",'Mapa final'!$AC$60="Catastrófico"),CONCATENATE("R9C",'Mapa final'!$Q$60),"")</f>
        <v/>
      </c>
      <c r="AL24" s="56" t="str">
        <f>IF(AND('Mapa final'!$AA$61="Alta",'Mapa final'!$AC$61="Catastrófico"),CONCATENATE("R9C",'Mapa final'!$Q$61),"")</f>
        <v/>
      </c>
      <c r="AM24" s="57" t="str">
        <f>IF(AND('Mapa final'!$AA$62="Alta",'Mapa final'!$AC$62="Catastrófico"),CONCATENATE("R9C",'Mapa final'!$Q$62),"")</f>
        <v/>
      </c>
      <c r="AN24" s="84"/>
      <c r="AO24" s="373"/>
      <c r="AP24" s="374"/>
      <c r="AQ24" s="374"/>
      <c r="AR24" s="374"/>
      <c r="AS24" s="374"/>
      <c r="AT24" s="37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82"/>
      <c r="C25" s="282"/>
      <c r="D25" s="283"/>
      <c r="E25" s="385"/>
      <c r="F25" s="386"/>
      <c r="G25" s="386"/>
      <c r="H25" s="386"/>
      <c r="I25" s="386"/>
      <c r="J25" s="71" t="str">
        <f>IF(AND('Mapa final'!$AA$63="Alta",'Mapa final'!$AC$63="Leve"),CONCATENATE("R10C",'Mapa final'!$Q$63),"")</f>
        <v/>
      </c>
      <c r="K25" s="72" t="str">
        <f>IF(AND('Mapa final'!$AA$64="Alta",'Mapa final'!$AC$64="Leve"),CONCATENATE("R10C",'Mapa final'!$Q$64),"")</f>
        <v/>
      </c>
      <c r="L25" s="72" t="str">
        <f>IF(AND('Mapa final'!$AA$65="Alta",'Mapa final'!$AC$65="Leve"),CONCATENATE("R10C",'Mapa final'!$Q$65),"")</f>
        <v/>
      </c>
      <c r="M25" s="72" t="str">
        <f>IF(AND('Mapa final'!$AA$66="Alta",'Mapa final'!$AC$66="Leve"),CONCATENATE("R10C",'Mapa final'!$Q$66),"")</f>
        <v/>
      </c>
      <c r="N25" s="72" t="str">
        <f>IF(AND('Mapa final'!$AA$67="Alta",'Mapa final'!$AC$67="Leve"),CONCATENATE("R10C",'Mapa final'!$Q$67),"")</f>
        <v/>
      </c>
      <c r="O25" s="73" t="str">
        <f>IF(AND('Mapa final'!$AA$68="Alta",'Mapa final'!$AC$68="Leve"),CONCATENATE("R10C",'Mapa final'!$Q$68),"")</f>
        <v/>
      </c>
      <c r="P25" s="71" t="str">
        <f>IF(AND('Mapa final'!$AA$63="Alta",'Mapa final'!$AC$63="Menor"),CONCATENATE("R10C",'Mapa final'!$Q$63),"")</f>
        <v/>
      </c>
      <c r="Q25" s="72" t="str">
        <f>IF(AND('Mapa final'!$AA$64="Alta",'Mapa final'!$AC$64="Menor"),CONCATENATE("R10C",'Mapa final'!$Q$64),"")</f>
        <v/>
      </c>
      <c r="R25" s="72" t="str">
        <f>IF(AND('Mapa final'!$AA$65="Alta",'Mapa final'!$AC$65="Menor"),CONCATENATE("R10C",'Mapa final'!$Q$65),"")</f>
        <v/>
      </c>
      <c r="S25" s="72" t="str">
        <f>IF(AND('Mapa final'!$AA$66="Alta",'Mapa final'!$AC$66="Menor"),CONCATENATE("R10C",'Mapa final'!$Q$66),"")</f>
        <v/>
      </c>
      <c r="T25" s="72" t="str">
        <f>IF(AND('Mapa final'!$AA$67="Alta",'Mapa final'!$AC$67="Menor"),CONCATENATE("R10C",'Mapa final'!$Q$67),"")</f>
        <v/>
      </c>
      <c r="U25" s="73" t="str">
        <f>IF(AND('Mapa final'!$AA$68="Alta",'Mapa final'!$AC$68="Menor"),CONCATENATE("R10C",'Mapa final'!$Q$68),"")</f>
        <v/>
      </c>
      <c r="V25" s="59" t="str">
        <f>IF(AND('Mapa final'!$AA$63="Alta",'Mapa final'!$AC$63="Moderado"),CONCATENATE("R10C",'Mapa final'!$Q$63),"")</f>
        <v/>
      </c>
      <c r="W25" s="60" t="str">
        <f>IF(AND('Mapa final'!$AA$64="Alta",'Mapa final'!$AC$64="Moderado"),CONCATENATE("R10C",'Mapa final'!$Q$64),"")</f>
        <v/>
      </c>
      <c r="X25" s="60" t="str">
        <f>IF(AND('Mapa final'!$AA$65="Alta",'Mapa final'!$AC$65="Moderado"),CONCATENATE("R10C",'Mapa final'!$Q$65),"")</f>
        <v/>
      </c>
      <c r="Y25" s="60" t="str">
        <f>IF(AND('Mapa final'!$AA$66="Alta",'Mapa final'!$AC$66="Moderado"),CONCATENATE("R10C",'Mapa final'!$Q$66),"")</f>
        <v/>
      </c>
      <c r="Z25" s="60" t="str">
        <f>IF(AND('Mapa final'!$AA$67="Alta",'Mapa final'!$AC$67="Moderado"),CONCATENATE("R10C",'Mapa final'!$Q$67),"")</f>
        <v/>
      </c>
      <c r="AA25" s="61" t="str">
        <f>IF(AND('Mapa final'!$AA$68="Alta",'Mapa final'!$AC$68="Moderado"),CONCATENATE("R10C",'Mapa final'!$Q$68),"")</f>
        <v/>
      </c>
      <c r="AB25" s="59" t="str">
        <f>IF(AND('Mapa final'!$AA$63="Alta",'Mapa final'!$AC$63="Mayor"),CONCATENATE("R10C",'Mapa final'!$Q$63),"")</f>
        <v/>
      </c>
      <c r="AC25" s="60" t="str">
        <f>IF(AND('Mapa final'!$AA$64="Alta",'Mapa final'!$AC$64="Mayor"),CONCATENATE("R10C",'Mapa final'!$Q$64),"")</f>
        <v/>
      </c>
      <c r="AD25" s="60" t="str">
        <f>IF(AND('Mapa final'!$AA$65="Alta",'Mapa final'!$AC$65="Mayor"),CONCATENATE("R10C",'Mapa final'!$Q$65),"")</f>
        <v/>
      </c>
      <c r="AE25" s="60" t="str">
        <f>IF(AND('Mapa final'!$AA$66="Alta",'Mapa final'!$AC$66="Mayor"),CONCATENATE("R10C",'Mapa final'!$Q$66),"")</f>
        <v/>
      </c>
      <c r="AF25" s="60" t="str">
        <f>IF(AND('Mapa final'!$AA$67="Alta",'Mapa final'!$AC$67="Mayor"),CONCATENATE("R10C",'Mapa final'!$Q$67),"")</f>
        <v/>
      </c>
      <c r="AG25" s="61" t="str">
        <f>IF(AND('Mapa final'!$AA$68="Alta",'Mapa final'!$AC$68="Mayor"),CONCATENATE("R10C",'Mapa final'!$Q$68),"")</f>
        <v/>
      </c>
      <c r="AH25" s="62" t="str">
        <f>IF(AND('Mapa final'!$AA$63="Alta",'Mapa final'!$AC$63="Catastrófico"),CONCATENATE("R10C",'Mapa final'!$Q$63),"")</f>
        <v/>
      </c>
      <c r="AI25" s="63" t="str">
        <f>IF(AND('Mapa final'!$AA$64="Alta",'Mapa final'!$AC$64="Catastrófico"),CONCATENATE("R10C",'Mapa final'!$Q$64),"")</f>
        <v/>
      </c>
      <c r="AJ25" s="63" t="str">
        <f>IF(AND('Mapa final'!$AA$65="Alta",'Mapa final'!$AC$65="Catastrófico"),CONCATENATE("R10C",'Mapa final'!$Q$65),"")</f>
        <v/>
      </c>
      <c r="AK25" s="63" t="str">
        <f>IF(AND('Mapa final'!$AA$66="Alta",'Mapa final'!$AC$66="Catastrófico"),CONCATENATE("R10C",'Mapa final'!$Q$66),"")</f>
        <v/>
      </c>
      <c r="AL25" s="63" t="str">
        <f>IF(AND('Mapa final'!$AA$67="Alta",'Mapa final'!$AC$67="Catastrófico"),CONCATENATE("R10C",'Mapa final'!$Q$67),"")</f>
        <v/>
      </c>
      <c r="AM25" s="64" t="str">
        <f>IF(AND('Mapa final'!$AA$68="Alta",'Mapa final'!$AC$68="Catastrófico"),CONCATENATE("R10C",'Mapa final'!$Q$68),"")</f>
        <v/>
      </c>
      <c r="AN25" s="84"/>
      <c r="AO25" s="376"/>
      <c r="AP25" s="377"/>
      <c r="AQ25" s="377"/>
      <c r="AR25" s="377"/>
      <c r="AS25" s="377"/>
      <c r="AT25" s="378"/>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82"/>
      <c r="C26" s="282"/>
      <c r="D26" s="283"/>
      <c r="E26" s="379" t="s">
        <v>109</v>
      </c>
      <c r="F26" s="380"/>
      <c r="G26" s="380"/>
      <c r="H26" s="380"/>
      <c r="I26" s="398"/>
      <c r="J26" s="65" t="str">
        <f ca="1">IF(AND('Mapa final'!$AA$11="Media",'Mapa final'!$AC$11="Leve"),CONCATENATE("R1C",'Mapa final'!$Q$11),"")</f>
        <v/>
      </c>
      <c r="K26" s="66" t="str">
        <f ca="1">IF(AND('Mapa final'!$AA$12="Media",'Mapa final'!$AC$12="Leve"),CONCATENATE("R1C",'Mapa final'!$Q$12),"")</f>
        <v/>
      </c>
      <c r="L26" s="66" t="e">
        <f>IF(AND('Mapa final'!#REF!="Media",'Mapa final'!#REF!="Leve"),CONCATENATE("R1C",'Mapa final'!#REF!),"")</f>
        <v>#REF!</v>
      </c>
      <c r="M26" s="66" t="e">
        <f>IF(AND('Mapa final'!#REF!="Media",'Mapa final'!#REF!="Leve"),CONCATENATE("R1C",'Mapa final'!#REF!),"")</f>
        <v>#REF!</v>
      </c>
      <c r="N26" s="66" t="str">
        <f>IF(AND('Mapa final'!$AA$13="Media",'Mapa final'!$AC$13="Leve"),CONCATENATE("R1C",'Mapa final'!$Q$13),"")</f>
        <v/>
      </c>
      <c r="O26" s="67" t="str">
        <f>IF(AND('Mapa final'!$AA$14="Media",'Mapa final'!$AC$14="Leve"),CONCATENATE("R1C",'Mapa final'!$Q$14),"")</f>
        <v/>
      </c>
      <c r="P26" s="65" t="str">
        <f ca="1">IF(AND('Mapa final'!$AA$11="Media",'Mapa final'!$AC$11="Menor"),CONCATENATE("R1C",'Mapa final'!$Q$11),"")</f>
        <v/>
      </c>
      <c r="Q26" s="66" t="str">
        <f ca="1">IF(AND('Mapa final'!$AA$12="Media",'Mapa final'!$AC$12="Menor"),CONCATENATE("R1C",'Mapa final'!$Q$12),"")</f>
        <v/>
      </c>
      <c r="R26" s="66" t="e">
        <f>IF(AND('Mapa final'!#REF!="Media",'Mapa final'!#REF!="Menor"),CONCATENATE("R1C",'Mapa final'!#REF!),"")</f>
        <v>#REF!</v>
      </c>
      <c r="S26" s="66" t="e">
        <f>IF(AND('Mapa final'!#REF!="Media",'Mapa final'!#REF!="Menor"),CONCATENATE("R1C",'Mapa final'!#REF!),"")</f>
        <v>#REF!</v>
      </c>
      <c r="T26" s="66" t="str">
        <f>IF(AND('Mapa final'!$AA$13="Media",'Mapa final'!$AC$13="Menor"),CONCATENATE("R1C",'Mapa final'!$Q$13),"")</f>
        <v/>
      </c>
      <c r="U26" s="67" t="str">
        <f>IF(AND('Mapa final'!$AA$14="Media",'Mapa final'!$AC$14="Menor"),CONCATENATE("R1C",'Mapa final'!$Q$14),"")</f>
        <v/>
      </c>
      <c r="V26" s="65" t="str">
        <f ca="1">IF(AND('Mapa final'!$AA$11="Media",'Mapa final'!$AC$11="Moderado"),CONCATENATE("R1C",'Mapa final'!$Q$11),"")</f>
        <v/>
      </c>
      <c r="W26" s="66" t="str">
        <f ca="1">IF(AND('Mapa final'!$AA$12="Media",'Mapa final'!$AC$12="Moderado"),CONCATENATE("R1C",'Mapa final'!$Q$12),"")</f>
        <v/>
      </c>
      <c r="X26" s="66" t="e">
        <f>IF(AND('Mapa final'!#REF!="Media",'Mapa final'!#REF!="Moderado"),CONCATENATE("R1C",'Mapa final'!#REF!),"")</f>
        <v>#REF!</v>
      </c>
      <c r="Y26" s="66" t="e">
        <f>IF(AND('Mapa final'!#REF!="Media",'Mapa final'!#REF!="Moderado"),CONCATENATE("R1C",'Mapa final'!#REF!),"")</f>
        <v>#REF!</v>
      </c>
      <c r="Z26" s="66" t="str">
        <f>IF(AND('Mapa final'!$AA$13="Media",'Mapa final'!$AC$13="Moderado"),CONCATENATE("R1C",'Mapa final'!$Q$13),"")</f>
        <v/>
      </c>
      <c r="AA26" s="67" t="str">
        <f>IF(AND('Mapa final'!$AA$14="Media",'Mapa final'!$AC$14="Moderado"),CONCATENATE("R1C",'Mapa final'!$Q$14),"")</f>
        <v/>
      </c>
      <c r="AB26" s="46" t="str">
        <f ca="1">IF(AND('Mapa final'!$AA$11="Media",'Mapa final'!$AC$11="Mayor"),CONCATENATE("R1C",'Mapa final'!$Q$11),"")</f>
        <v/>
      </c>
      <c r="AC26" s="47" t="str">
        <f ca="1">IF(AND('Mapa final'!$AA$12="Media",'Mapa final'!$AC$12="Mayor"),CONCATENATE("R1C",'Mapa final'!$Q$12),"")</f>
        <v/>
      </c>
      <c r="AD26" s="47" t="e">
        <f>IF(AND('Mapa final'!#REF!="Media",'Mapa final'!#REF!="Mayor"),CONCATENATE("R1C",'Mapa final'!#REF!),"")</f>
        <v>#REF!</v>
      </c>
      <c r="AE26" s="47" t="e">
        <f>IF(AND('Mapa final'!#REF!="Media",'Mapa final'!#REF!="Mayor"),CONCATENATE("R1C",'Mapa final'!#REF!),"")</f>
        <v>#REF!</v>
      </c>
      <c r="AF26" s="47" t="str">
        <f>IF(AND('Mapa final'!$AA$13="Media",'Mapa final'!$AC$13="Mayor"),CONCATENATE("R1C",'Mapa final'!$Q$13),"")</f>
        <v/>
      </c>
      <c r="AG26" s="48" t="str">
        <f>IF(AND('Mapa final'!$AA$14="Media",'Mapa final'!$AC$14="Mayor"),CONCATENATE("R1C",'Mapa final'!$Q$14),"")</f>
        <v/>
      </c>
      <c r="AH26" s="49" t="str">
        <f ca="1">IF(AND('Mapa final'!$AA$11="Media",'Mapa final'!$AC$11="Catastrófico"),CONCATENATE("R1C",'Mapa final'!$Q$11),"")</f>
        <v/>
      </c>
      <c r="AI26" s="50" t="str">
        <f ca="1">IF(AND('Mapa final'!$AA$12="Media",'Mapa final'!$AC$12="Catastrófico"),CONCATENATE("R1C",'Mapa final'!$Q$12),"")</f>
        <v/>
      </c>
      <c r="AJ26" s="50" t="e">
        <f>IF(AND('Mapa final'!#REF!="Media",'Mapa final'!#REF!="Catastrófico"),CONCATENATE("R1C",'Mapa final'!#REF!),"")</f>
        <v>#REF!</v>
      </c>
      <c r="AK26" s="50" t="e">
        <f>IF(AND('Mapa final'!#REF!="Media",'Mapa final'!#REF!="Catastrófico"),CONCATENATE("R1C",'Mapa final'!#REF!),"")</f>
        <v>#REF!</v>
      </c>
      <c r="AL26" s="50" t="str">
        <f>IF(AND('Mapa final'!$AA$13="Media",'Mapa final'!$AC$13="Catastrófico"),CONCATENATE("R1C",'Mapa final'!$Q$13),"")</f>
        <v/>
      </c>
      <c r="AM26" s="51" t="str">
        <f>IF(AND('Mapa final'!$AA$14="Media",'Mapa final'!$AC$14="Catastrófico"),CONCATENATE("R1C",'Mapa final'!$Q$14),"")</f>
        <v/>
      </c>
      <c r="AN26" s="84"/>
      <c r="AO26" s="410" t="s">
        <v>78</v>
      </c>
      <c r="AP26" s="411"/>
      <c r="AQ26" s="411"/>
      <c r="AR26" s="411"/>
      <c r="AS26" s="411"/>
      <c r="AT26" s="412"/>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82"/>
      <c r="C27" s="282"/>
      <c r="D27" s="283"/>
      <c r="E27" s="381"/>
      <c r="F27" s="382"/>
      <c r="G27" s="382"/>
      <c r="H27" s="382"/>
      <c r="I27" s="399"/>
      <c r="J27" s="68" t="str">
        <f>IF(AND('Mapa final'!$AA$15="Media",'Mapa final'!$AC$15="Leve"),CONCATENATE("R2C",'Mapa final'!$Q$15),"")</f>
        <v/>
      </c>
      <c r="K27" s="69" t="str">
        <f>IF(AND('Mapa final'!$AA$16="Media",'Mapa final'!$AC$16="Leve"),CONCATENATE("R2C",'Mapa final'!$Q$16),"")</f>
        <v/>
      </c>
      <c r="L27" s="69" t="str">
        <f>IF(AND('Mapa final'!$AA$17="Media",'Mapa final'!$AC$17="Leve"),CONCATENATE("R2C",'Mapa final'!$Q$17),"")</f>
        <v/>
      </c>
      <c r="M27" s="69" t="str">
        <f>IF(AND('Mapa final'!$AA$18="Media",'Mapa final'!$AC$18="Leve"),CONCATENATE("R2C",'Mapa final'!$Q$18),"")</f>
        <v/>
      </c>
      <c r="N27" s="69" t="str">
        <f>IF(AND('Mapa final'!$AA$19="Media",'Mapa final'!$AC$19="Leve"),CONCATENATE("R2C",'Mapa final'!$Q$19),"")</f>
        <v/>
      </c>
      <c r="O27" s="70" t="str">
        <f>IF(AND('Mapa final'!$AA$20="Media",'Mapa final'!$AC$20="Leve"),CONCATENATE("R2C",'Mapa final'!$Q$20),"")</f>
        <v/>
      </c>
      <c r="P27" s="68" t="str">
        <f>IF(AND('Mapa final'!$AA$15="Media",'Mapa final'!$AC$15="Menor"),CONCATENATE("R2C",'Mapa final'!$Q$15),"")</f>
        <v/>
      </c>
      <c r="Q27" s="69" t="str">
        <f>IF(AND('Mapa final'!$AA$16="Media",'Mapa final'!$AC$16="Menor"),CONCATENATE("R2C",'Mapa final'!$Q$16),"")</f>
        <v/>
      </c>
      <c r="R27" s="69" t="str">
        <f>IF(AND('Mapa final'!$AA$17="Media",'Mapa final'!$AC$17="Menor"),CONCATENATE("R2C",'Mapa final'!$Q$17),"")</f>
        <v/>
      </c>
      <c r="S27" s="69" t="str">
        <f>IF(AND('Mapa final'!$AA$18="Media",'Mapa final'!$AC$18="Menor"),CONCATENATE("R2C",'Mapa final'!$Q$18),"")</f>
        <v/>
      </c>
      <c r="T27" s="69" t="str">
        <f>IF(AND('Mapa final'!$AA$19="Media",'Mapa final'!$AC$19="Menor"),CONCATENATE("R2C",'Mapa final'!$Q$19),"")</f>
        <v/>
      </c>
      <c r="U27" s="70" t="str">
        <f>IF(AND('Mapa final'!$AA$20="Media",'Mapa final'!$AC$20="Menor"),CONCATENATE("R2C",'Mapa final'!$Q$20),"")</f>
        <v/>
      </c>
      <c r="V27" s="68" t="str">
        <f>IF(AND('Mapa final'!$AA$15="Media",'Mapa final'!$AC$15="Moderado"),CONCATENATE("R2C",'Mapa final'!$Q$15),"")</f>
        <v/>
      </c>
      <c r="W27" s="69" t="str">
        <f>IF(AND('Mapa final'!$AA$16="Media",'Mapa final'!$AC$16="Moderado"),CONCATENATE("R2C",'Mapa final'!$Q$16),"")</f>
        <v/>
      </c>
      <c r="X27" s="69" t="str">
        <f>IF(AND('Mapa final'!$AA$17="Media",'Mapa final'!$AC$17="Moderado"),CONCATENATE("R2C",'Mapa final'!$Q$17),"")</f>
        <v/>
      </c>
      <c r="Y27" s="69" t="str">
        <f>IF(AND('Mapa final'!$AA$18="Media",'Mapa final'!$AC$18="Moderado"),CONCATENATE("R2C",'Mapa final'!$Q$18),"")</f>
        <v/>
      </c>
      <c r="Z27" s="69" t="str">
        <f>IF(AND('Mapa final'!$AA$19="Media",'Mapa final'!$AC$19="Moderado"),CONCATENATE("R2C",'Mapa final'!$Q$19),"")</f>
        <v/>
      </c>
      <c r="AA27" s="70" t="str">
        <f>IF(AND('Mapa final'!$AA$20="Media",'Mapa final'!$AC$20="Moderado"),CONCATENATE("R2C",'Mapa final'!$Q$20),"")</f>
        <v/>
      </c>
      <c r="AB27" s="52" t="str">
        <f>IF(AND('Mapa final'!$AA$15="Media",'Mapa final'!$AC$15="Mayor"),CONCATENATE("R2C",'Mapa final'!$Q$15),"")</f>
        <v/>
      </c>
      <c r="AC27" s="53" t="str">
        <f>IF(AND('Mapa final'!$AA$16="Media",'Mapa final'!$AC$16="Mayor"),CONCATENATE("R2C",'Mapa final'!$Q$16),"")</f>
        <v/>
      </c>
      <c r="AD27" s="53" t="str">
        <f>IF(AND('Mapa final'!$AA$17="Media",'Mapa final'!$AC$17="Mayor"),CONCATENATE("R2C",'Mapa final'!$Q$17),"")</f>
        <v/>
      </c>
      <c r="AE27" s="53" t="str">
        <f>IF(AND('Mapa final'!$AA$18="Media",'Mapa final'!$AC$18="Mayor"),CONCATENATE("R2C",'Mapa final'!$Q$18),"")</f>
        <v/>
      </c>
      <c r="AF27" s="53" t="str">
        <f>IF(AND('Mapa final'!$AA$19="Media",'Mapa final'!$AC$19="Mayor"),CONCATENATE("R2C",'Mapa final'!$Q$19),"")</f>
        <v/>
      </c>
      <c r="AG27" s="54" t="str">
        <f>IF(AND('Mapa final'!$AA$20="Media",'Mapa final'!$AC$20="Mayor"),CONCATENATE("R2C",'Mapa final'!$Q$20),"")</f>
        <v/>
      </c>
      <c r="AH27" s="55" t="str">
        <f>IF(AND('Mapa final'!$AA$15="Media",'Mapa final'!$AC$15="Catastrófico"),CONCATENATE("R2C",'Mapa final'!$Q$15),"")</f>
        <v/>
      </c>
      <c r="AI27" s="56" t="str">
        <f>IF(AND('Mapa final'!$AA$16="Media",'Mapa final'!$AC$16="Catastrófico"),CONCATENATE("R2C",'Mapa final'!$Q$16),"")</f>
        <v/>
      </c>
      <c r="AJ27" s="56" t="str">
        <f>IF(AND('Mapa final'!$AA$17="Media",'Mapa final'!$AC$17="Catastrófico"),CONCATENATE("R2C",'Mapa final'!$Q$17),"")</f>
        <v/>
      </c>
      <c r="AK27" s="56" t="str">
        <f>IF(AND('Mapa final'!$AA$18="Media",'Mapa final'!$AC$18="Catastrófico"),CONCATENATE("R2C",'Mapa final'!$Q$18),"")</f>
        <v/>
      </c>
      <c r="AL27" s="56" t="str">
        <f>IF(AND('Mapa final'!$AA$19="Media",'Mapa final'!$AC$19="Catastrófico"),CONCATENATE("R2C",'Mapa final'!$Q$19),"")</f>
        <v/>
      </c>
      <c r="AM27" s="57" t="str">
        <f>IF(AND('Mapa final'!$AA$20="Media",'Mapa final'!$AC$20="Catastrófico"),CONCATENATE("R2C",'Mapa final'!$Q$20),"")</f>
        <v/>
      </c>
      <c r="AN27" s="84"/>
      <c r="AO27" s="413"/>
      <c r="AP27" s="414"/>
      <c r="AQ27" s="414"/>
      <c r="AR27" s="414"/>
      <c r="AS27" s="414"/>
      <c r="AT27" s="415"/>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82"/>
      <c r="C28" s="282"/>
      <c r="D28" s="283"/>
      <c r="E28" s="383"/>
      <c r="F28" s="384"/>
      <c r="G28" s="384"/>
      <c r="H28" s="384"/>
      <c r="I28" s="399"/>
      <c r="J28" s="68" t="str">
        <f>IF(AND('Mapa final'!$AA$21="Media",'Mapa final'!$AC$21="Leve"),CONCATENATE("R3C",'Mapa final'!$Q$21),"")</f>
        <v/>
      </c>
      <c r="K28" s="69" t="str">
        <f>IF(AND('Mapa final'!$AA$22="Media",'Mapa final'!$AC$22="Leve"),CONCATENATE("R3C",'Mapa final'!$Q$22),"")</f>
        <v/>
      </c>
      <c r="L28" s="69" t="str">
        <f>IF(AND('Mapa final'!$AA$23="Media",'Mapa final'!$AC$23="Leve"),CONCATENATE("R3C",'Mapa final'!$Q$23),"")</f>
        <v/>
      </c>
      <c r="M28" s="69" t="str">
        <f>IF(AND('Mapa final'!$AA$24="Media",'Mapa final'!$AC$24="Leve"),CONCATENATE("R3C",'Mapa final'!$Q$24),"")</f>
        <v/>
      </c>
      <c r="N28" s="69" t="str">
        <f>IF(AND('Mapa final'!$AA$25="Media",'Mapa final'!$AC$25="Leve"),CONCATENATE("R3C",'Mapa final'!$Q$25),"")</f>
        <v/>
      </c>
      <c r="O28" s="70" t="str">
        <f>IF(AND('Mapa final'!$AA$26="Media",'Mapa final'!$AC$26="Leve"),CONCATENATE("R3C",'Mapa final'!$Q$26),"")</f>
        <v/>
      </c>
      <c r="P28" s="68" t="str">
        <f>IF(AND('Mapa final'!$AA$21="Media",'Mapa final'!$AC$21="Menor"),CONCATENATE("R3C",'Mapa final'!$Q$21),"")</f>
        <v/>
      </c>
      <c r="Q28" s="69" t="str">
        <f>IF(AND('Mapa final'!$AA$22="Media",'Mapa final'!$AC$22="Menor"),CONCATENATE("R3C",'Mapa final'!$Q$22),"")</f>
        <v/>
      </c>
      <c r="R28" s="69" t="str">
        <f>IF(AND('Mapa final'!$AA$23="Media",'Mapa final'!$AC$23="Menor"),CONCATENATE("R3C",'Mapa final'!$Q$23),"")</f>
        <v/>
      </c>
      <c r="S28" s="69" t="str">
        <f>IF(AND('Mapa final'!$AA$24="Media",'Mapa final'!$AC$24="Menor"),CONCATENATE("R3C",'Mapa final'!$Q$24),"")</f>
        <v/>
      </c>
      <c r="T28" s="69" t="str">
        <f>IF(AND('Mapa final'!$AA$25="Media",'Mapa final'!$AC$25="Menor"),CONCATENATE("R3C",'Mapa final'!$Q$25),"")</f>
        <v/>
      </c>
      <c r="U28" s="70" t="str">
        <f>IF(AND('Mapa final'!$AA$26="Media",'Mapa final'!$AC$26="Menor"),CONCATENATE("R3C",'Mapa final'!$Q$26),"")</f>
        <v/>
      </c>
      <c r="V28" s="68" t="str">
        <f>IF(AND('Mapa final'!$AA$21="Media",'Mapa final'!$AC$21="Moderado"),CONCATENATE("R3C",'Mapa final'!$Q$21),"")</f>
        <v/>
      </c>
      <c r="W28" s="69" t="str">
        <f>IF(AND('Mapa final'!$AA$22="Media",'Mapa final'!$AC$22="Moderado"),CONCATENATE("R3C",'Mapa final'!$Q$22),"")</f>
        <v/>
      </c>
      <c r="X28" s="69" t="str">
        <f>IF(AND('Mapa final'!$AA$23="Media",'Mapa final'!$AC$23="Moderado"),CONCATENATE("R3C",'Mapa final'!$Q$23),"")</f>
        <v/>
      </c>
      <c r="Y28" s="69" t="str">
        <f>IF(AND('Mapa final'!$AA$24="Media",'Mapa final'!$AC$24="Moderado"),CONCATENATE("R3C",'Mapa final'!$Q$24),"")</f>
        <v/>
      </c>
      <c r="Z28" s="69" t="str">
        <f>IF(AND('Mapa final'!$AA$25="Media",'Mapa final'!$AC$25="Moderado"),CONCATENATE("R3C",'Mapa final'!$Q$25),"")</f>
        <v/>
      </c>
      <c r="AA28" s="70" t="str">
        <f>IF(AND('Mapa final'!$AA$26="Media",'Mapa final'!$AC$26="Moderado"),CONCATENATE("R3C",'Mapa final'!$Q$26),"")</f>
        <v/>
      </c>
      <c r="AB28" s="52" t="str">
        <f>IF(AND('Mapa final'!$AA$21="Media",'Mapa final'!$AC$21="Mayor"),CONCATENATE("R3C",'Mapa final'!$Q$21),"")</f>
        <v/>
      </c>
      <c r="AC28" s="53" t="str">
        <f>IF(AND('Mapa final'!$AA$22="Media",'Mapa final'!$AC$22="Mayor"),CONCATENATE("R3C",'Mapa final'!$Q$22),"")</f>
        <v/>
      </c>
      <c r="AD28" s="53" t="str">
        <f>IF(AND('Mapa final'!$AA$23="Media",'Mapa final'!$AC$23="Mayor"),CONCATENATE("R3C",'Mapa final'!$Q$23),"")</f>
        <v/>
      </c>
      <c r="AE28" s="53" t="str">
        <f>IF(AND('Mapa final'!$AA$24="Media",'Mapa final'!$AC$24="Mayor"),CONCATENATE("R3C",'Mapa final'!$Q$24),"")</f>
        <v/>
      </c>
      <c r="AF28" s="53" t="str">
        <f>IF(AND('Mapa final'!$AA$25="Media",'Mapa final'!$AC$25="Mayor"),CONCATENATE("R3C",'Mapa final'!$Q$25),"")</f>
        <v/>
      </c>
      <c r="AG28" s="54" t="str">
        <f>IF(AND('Mapa final'!$AA$26="Media",'Mapa final'!$AC$26="Mayor"),CONCATENATE("R3C",'Mapa final'!$Q$26),"")</f>
        <v/>
      </c>
      <c r="AH28" s="55" t="str">
        <f>IF(AND('Mapa final'!$AA$21="Media",'Mapa final'!$AC$21="Catastrófico"),CONCATENATE("R3C",'Mapa final'!$Q$21),"")</f>
        <v/>
      </c>
      <c r="AI28" s="56" t="str">
        <f>IF(AND('Mapa final'!$AA$22="Media",'Mapa final'!$AC$22="Catastrófico"),CONCATENATE("R3C",'Mapa final'!$Q$22),"")</f>
        <v/>
      </c>
      <c r="AJ28" s="56" t="str">
        <f>IF(AND('Mapa final'!$AA$23="Media",'Mapa final'!$AC$23="Catastrófico"),CONCATENATE("R3C",'Mapa final'!$Q$23),"")</f>
        <v/>
      </c>
      <c r="AK28" s="56" t="str">
        <f>IF(AND('Mapa final'!$AA$24="Media",'Mapa final'!$AC$24="Catastrófico"),CONCATENATE("R3C",'Mapa final'!$Q$24),"")</f>
        <v/>
      </c>
      <c r="AL28" s="56" t="str">
        <f>IF(AND('Mapa final'!$AA$25="Media",'Mapa final'!$AC$25="Catastrófico"),CONCATENATE("R3C",'Mapa final'!$Q$25),"")</f>
        <v/>
      </c>
      <c r="AM28" s="57" t="str">
        <f>IF(AND('Mapa final'!$AA$26="Media",'Mapa final'!$AC$26="Catastrófico"),CONCATENATE("R3C",'Mapa final'!$Q$26),"")</f>
        <v/>
      </c>
      <c r="AN28" s="84"/>
      <c r="AO28" s="413"/>
      <c r="AP28" s="414"/>
      <c r="AQ28" s="414"/>
      <c r="AR28" s="414"/>
      <c r="AS28" s="414"/>
      <c r="AT28" s="415"/>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82"/>
      <c r="C29" s="282"/>
      <c r="D29" s="283"/>
      <c r="E29" s="383"/>
      <c r="F29" s="384"/>
      <c r="G29" s="384"/>
      <c r="H29" s="384"/>
      <c r="I29" s="399"/>
      <c r="J29" s="68" t="str">
        <f>IF(AND('Mapa final'!$AA$27="Media",'Mapa final'!$AC$27="Leve"),CONCATENATE("R4C",'Mapa final'!$Q$27),"")</f>
        <v/>
      </c>
      <c r="K29" s="69" t="str">
        <f>IF(AND('Mapa final'!$AA$28="Media",'Mapa final'!$AC$28="Leve"),CONCATENATE("R4C",'Mapa final'!$Q$28),"")</f>
        <v/>
      </c>
      <c r="L29" s="69" t="str">
        <f>IF(AND('Mapa final'!$AA$29="Media",'Mapa final'!$AC$29="Leve"),CONCATENATE("R4C",'Mapa final'!$Q$29),"")</f>
        <v/>
      </c>
      <c r="M29" s="69" t="str">
        <f>IF(AND('Mapa final'!$AA$30="Media",'Mapa final'!$AC$30="Leve"),CONCATENATE("R4C",'Mapa final'!$Q$30),"")</f>
        <v/>
      </c>
      <c r="N29" s="69" t="str">
        <f>IF(AND('Mapa final'!$AA$31="Media",'Mapa final'!$AC$31="Leve"),CONCATENATE("R4C",'Mapa final'!$Q$31),"")</f>
        <v/>
      </c>
      <c r="O29" s="70" t="str">
        <f>IF(AND('Mapa final'!$AA$32="Media",'Mapa final'!$AC$32="Leve"),CONCATENATE("R4C",'Mapa final'!$Q$32),"")</f>
        <v/>
      </c>
      <c r="P29" s="68" t="str">
        <f>IF(AND('Mapa final'!$AA$27="Media",'Mapa final'!$AC$27="Menor"),CONCATENATE("R4C",'Mapa final'!$Q$27),"")</f>
        <v/>
      </c>
      <c r="Q29" s="69" t="str">
        <f>IF(AND('Mapa final'!$AA$28="Media",'Mapa final'!$AC$28="Menor"),CONCATENATE("R4C",'Mapa final'!$Q$28),"")</f>
        <v/>
      </c>
      <c r="R29" s="69" t="str">
        <f>IF(AND('Mapa final'!$AA$29="Media",'Mapa final'!$AC$29="Menor"),CONCATENATE("R4C",'Mapa final'!$Q$29),"")</f>
        <v/>
      </c>
      <c r="S29" s="69" t="str">
        <f>IF(AND('Mapa final'!$AA$30="Media",'Mapa final'!$AC$30="Menor"),CONCATENATE("R4C",'Mapa final'!$Q$30),"")</f>
        <v/>
      </c>
      <c r="T29" s="69" t="str">
        <f>IF(AND('Mapa final'!$AA$31="Media",'Mapa final'!$AC$31="Menor"),CONCATENATE("R4C",'Mapa final'!$Q$31),"")</f>
        <v/>
      </c>
      <c r="U29" s="70" t="str">
        <f>IF(AND('Mapa final'!$AA$32="Media",'Mapa final'!$AC$32="Menor"),CONCATENATE("R4C",'Mapa final'!$Q$32),"")</f>
        <v/>
      </c>
      <c r="V29" s="68" t="str">
        <f>IF(AND('Mapa final'!$AA$27="Media",'Mapa final'!$AC$27="Moderado"),CONCATENATE("R4C",'Mapa final'!$Q$27),"")</f>
        <v/>
      </c>
      <c r="W29" s="69" t="str">
        <f>IF(AND('Mapa final'!$AA$28="Media",'Mapa final'!$AC$28="Moderado"),CONCATENATE("R4C",'Mapa final'!$Q$28),"")</f>
        <v/>
      </c>
      <c r="X29" s="69" t="str">
        <f>IF(AND('Mapa final'!$AA$29="Media",'Mapa final'!$AC$29="Moderado"),CONCATENATE("R4C",'Mapa final'!$Q$29),"")</f>
        <v/>
      </c>
      <c r="Y29" s="69" t="str">
        <f>IF(AND('Mapa final'!$AA$30="Media",'Mapa final'!$AC$30="Moderado"),CONCATENATE("R4C",'Mapa final'!$Q$30),"")</f>
        <v/>
      </c>
      <c r="Z29" s="69" t="str">
        <f>IF(AND('Mapa final'!$AA$31="Media",'Mapa final'!$AC$31="Moderado"),CONCATENATE("R4C",'Mapa final'!$Q$31),"")</f>
        <v/>
      </c>
      <c r="AA29" s="70" t="str">
        <f>IF(AND('Mapa final'!$AA$32="Media",'Mapa final'!$AC$32="Moderado"),CONCATENATE("R4C",'Mapa final'!$Q$32),"")</f>
        <v/>
      </c>
      <c r="AB29" s="52" t="str">
        <f>IF(AND('Mapa final'!$AA$27="Media",'Mapa final'!$AC$27="Mayor"),CONCATENATE("R4C",'Mapa final'!$Q$27),"")</f>
        <v/>
      </c>
      <c r="AC29" s="53" t="str">
        <f>IF(AND('Mapa final'!$AA$28="Media",'Mapa final'!$AC$28="Mayor"),CONCATENATE("R4C",'Mapa final'!$Q$28),"")</f>
        <v/>
      </c>
      <c r="AD29" s="58" t="str">
        <f>IF(AND('Mapa final'!$AA$29="Media",'Mapa final'!$AC$29="Mayor"),CONCATENATE("R4C",'Mapa final'!$Q$29),"")</f>
        <v/>
      </c>
      <c r="AE29" s="58" t="str">
        <f>IF(AND('Mapa final'!$AA$30="Media",'Mapa final'!$AC$30="Mayor"),CONCATENATE("R4C",'Mapa final'!$Q$30),"")</f>
        <v/>
      </c>
      <c r="AF29" s="58" t="str">
        <f>IF(AND('Mapa final'!$AA$31="Media",'Mapa final'!$AC$31="Mayor"),CONCATENATE("R4C",'Mapa final'!$Q$31),"")</f>
        <v/>
      </c>
      <c r="AG29" s="54" t="str">
        <f>IF(AND('Mapa final'!$AA$32="Media",'Mapa final'!$AC$32="Mayor"),CONCATENATE("R4C",'Mapa final'!$Q$32),"")</f>
        <v/>
      </c>
      <c r="AH29" s="55" t="str">
        <f>IF(AND('Mapa final'!$AA$27="Media",'Mapa final'!$AC$27="Catastrófico"),CONCATENATE("R4C",'Mapa final'!$Q$27),"")</f>
        <v/>
      </c>
      <c r="AI29" s="56" t="str">
        <f>IF(AND('Mapa final'!$AA$28="Media",'Mapa final'!$AC$28="Catastrófico"),CONCATENATE("R4C",'Mapa final'!$Q$28),"")</f>
        <v/>
      </c>
      <c r="AJ29" s="56" t="str">
        <f>IF(AND('Mapa final'!$AA$29="Media",'Mapa final'!$AC$29="Catastrófico"),CONCATENATE("R4C",'Mapa final'!$Q$29),"")</f>
        <v/>
      </c>
      <c r="AK29" s="56" t="str">
        <f>IF(AND('Mapa final'!$AA$30="Media",'Mapa final'!$AC$30="Catastrófico"),CONCATENATE("R4C",'Mapa final'!$Q$30),"")</f>
        <v/>
      </c>
      <c r="AL29" s="56" t="str">
        <f>IF(AND('Mapa final'!$AA$31="Media",'Mapa final'!$AC$31="Catastrófico"),CONCATENATE("R4C",'Mapa final'!$Q$31),"")</f>
        <v/>
      </c>
      <c r="AM29" s="57" t="str">
        <f>IF(AND('Mapa final'!$AA$32="Media",'Mapa final'!$AC$32="Catastrófico"),CONCATENATE("R4C",'Mapa final'!$Q$32),"")</f>
        <v/>
      </c>
      <c r="AN29" s="84"/>
      <c r="AO29" s="413"/>
      <c r="AP29" s="414"/>
      <c r="AQ29" s="414"/>
      <c r="AR29" s="414"/>
      <c r="AS29" s="414"/>
      <c r="AT29" s="415"/>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82"/>
      <c r="C30" s="282"/>
      <c r="D30" s="283"/>
      <c r="E30" s="383"/>
      <c r="F30" s="384"/>
      <c r="G30" s="384"/>
      <c r="H30" s="384"/>
      <c r="I30" s="399"/>
      <c r="J30" s="68" t="str">
        <f>IF(AND('Mapa final'!$AA$33="Media",'Mapa final'!$AC$33="Leve"),CONCATENATE("R5C",'Mapa final'!$Q$33),"")</f>
        <v/>
      </c>
      <c r="K30" s="69" t="str">
        <f>IF(AND('Mapa final'!$AA$34="Media",'Mapa final'!$AC$34="Leve"),CONCATENATE("R5C",'Mapa final'!$Q$34),"")</f>
        <v/>
      </c>
      <c r="L30" s="69" t="str">
        <f>IF(AND('Mapa final'!$AA$35="Media",'Mapa final'!$AC$35="Leve"),CONCATENATE("R5C",'Mapa final'!$Q$35),"")</f>
        <v/>
      </c>
      <c r="M30" s="69" t="str">
        <f>IF(AND('Mapa final'!$AA$36="Media",'Mapa final'!$AC$36="Leve"),CONCATENATE("R5C",'Mapa final'!$Q$36),"")</f>
        <v/>
      </c>
      <c r="N30" s="69" t="str">
        <f>IF(AND('Mapa final'!$AA$37="Media",'Mapa final'!$AC$37="Leve"),CONCATENATE("R5C",'Mapa final'!$Q$37),"")</f>
        <v/>
      </c>
      <c r="O30" s="70" t="str">
        <f>IF(AND('Mapa final'!$AA$38="Media",'Mapa final'!$AC$38="Leve"),CONCATENATE("R5C",'Mapa final'!$Q$38),"")</f>
        <v/>
      </c>
      <c r="P30" s="68" t="str">
        <f>IF(AND('Mapa final'!$AA$33="Media",'Mapa final'!$AC$33="Menor"),CONCATENATE("R5C",'Mapa final'!$Q$33),"")</f>
        <v/>
      </c>
      <c r="Q30" s="69" t="str">
        <f>IF(AND('Mapa final'!$AA$34="Media",'Mapa final'!$AC$34="Menor"),CONCATENATE("R5C",'Mapa final'!$Q$34),"")</f>
        <v/>
      </c>
      <c r="R30" s="69" t="str">
        <f>IF(AND('Mapa final'!$AA$35="Media",'Mapa final'!$AC$35="Menor"),CONCATENATE("R5C",'Mapa final'!$Q$35),"")</f>
        <v/>
      </c>
      <c r="S30" s="69" t="str">
        <f>IF(AND('Mapa final'!$AA$36="Media",'Mapa final'!$AC$36="Menor"),CONCATENATE("R5C",'Mapa final'!$Q$36),"")</f>
        <v/>
      </c>
      <c r="T30" s="69" t="str">
        <f>IF(AND('Mapa final'!$AA$37="Media",'Mapa final'!$AC$37="Menor"),CONCATENATE("R5C",'Mapa final'!$Q$37),"")</f>
        <v/>
      </c>
      <c r="U30" s="70" t="str">
        <f>IF(AND('Mapa final'!$AA$38="Media",'Mapa final'!$AC$38="Menor"),CONCATENATE("R5C",'Mapa final'!$Q$38),"")</f>
        <v/>
      </c>
      <c r="V30" s="68" t="str">
        <f>IF(AND('Mapa final'!$AA$33="Media",'Mapa final'!$AC$33="Moderado"),CONCATENATE("R5C",'Mapa final'!$Q$33),"")</f>
        <v/>
      </c>
      <c r="W30" s="69" t="str">
        <f>IF(AND('Mapa final'!$AA$34="Media",'Mapa final'!$AC$34="Moderado"),CONCATENATE("R5C",'Mapa final'!$Q$34),"")</f>
        <v/>
      </c>
      <c r="X30" s="69" t="str">
        <f>IF(AND('Mapa final'!$AA$35="Media",'Mapa final'!$AC$35="Moderado"),CONCATENATE("R5C",'Mapa final'!$Q$35),"")</f>
        <v/>
      </c>
      <c r="Y30" s="69" t="str">
        <f>IF(AND('Mapa final'!$AA$36="Media",'Mapa final'!$AC$36="Moderado"),CONCATENATE("R5C",'Mapa final'!$Q$36),"")</f>
        <v/>
      </c>
      <c r="Z30" s="69" t="str">
        <f>IF(AND('Mapa final'!$AA$37="Media",'Mapa final'!$AC$37="Moderado"),CONCATENATE("R5C",'Mapa final'!$Q$37),"")</f>
        <v/>
      </c>
      <c r="AA30" s="70" t="str">
        <f>IF(AND('Mapa final'!$AA$38="Media",'Mapa final'!$AC$38="Moderado"),CONCATENATE("R5C",'Mapa final'!$Q$38),"")</f>
        <v/>
      </c>
      <c r="AB30" s="52" t="str">
        <f>IF(AND('Mapa final'!$AA$33="Media",'Mapa final'!$AC$33="Mayor"),CONCATENATE("R5C",'Mapa final'!$Q$33),"")</f>
        <v/>
      </c>
      <c r="AC30" s="53" t="str">
        <f>IF(AND('Mapa final'!$AA$34="Media",'Mapa final'!$AC$34="Mayor"),CONCATENATE("R5C",'Mapa final'!$Q$34),"")</f>
        <v/>
      </c>
      <c r="AD30" s="58" t="str">
        <f>IF(AND('Mapa final'!$AA$35="Media",'Mapa final'!$AC$35="Mayor"),CONCATENATE("R5C",'Mapa final'!$Q$35),"")</f>
        <v/>
      </c>
      <c r="AE30" s="58" t="str">
        <f>IF(AND('Mapa final'!$AA$36="Media",'Mapa final'!$AC$36="Mayor"),CONCATENATE("R5C",'Mapa final'!$Q$36),"")</f>
        <v/>
      </c>
      <c r="AF30" s="58" t="str">
        <f>IF(AND('Mapa final'!$AA$37="Media",'Mapa final'!$AC$37="Mayor"),CONCATENATE("R5C",'Mapa final'!$Q$37),"")</f>
        <v/>
      </c>
      <c r="AG30" s="54" t="str">
        <f>IF(AND('Mapa final'!$AA$38="Media",'Mapa final'!$AC$38="Mayor"),CONCATENATE("R5C",'Mapa final'!$Q$38),"")</f>
        <v/>
      </c>
      <c r="AH30" s="55" t="str">
        <f>IF(AND('Mapa final'!$AA$33="Media",'Mapa final'!$AC$33="Catastrófico"),CONCATENATE("R5C",'Mapa final'!$Q$33),"")</f>
        <v/>
      </c>
      <c r="AI30" s="56" t="str">
        <f>IF(AND('Mapa final'!$AA$34="Media",'Mapa final'!$AC$34="Catastrófico"),CONCATENATE("R5C",'Mapa final'!$Q$34),"")</f>
        <v/>
      </c>
      <c r="AJ30" s="56" t="str">
        <f>IF(AND('Mapa final'!$AA$35="Media",'Mapa final'!$AC$35="Catastrófico"),CONCATENATE("R5C",'Mapa final'!$Q$35),"")</f>
        <v/>
      </c>
      <c r="AK30" s="56" t="str">
        <f>IF(AND('Mapa final'!$AA$36="Media",'Mapa final'!$AC$36="Catastrófico"),CONCATENATE("R5C",'Mapa final'!$Q$36),"")</f>
        <v/>
      </c>
      <c r="AL30" s="56" t="str">
        <f>IF(AND('Mapa final'!$AA$37="Media",'Mapa final'!$AC$37="Catastrófico"),CONCATENATE("R5C",'Mapa final'!$Q$37),"")</f>
        <v/>
      </c>
      <c r="AM30" s="57" t="str">
        <f>IF(AND('Mapa final'!$AA$38="Media",'Mapa final'!$AC$38="Catastrófico"),CONCATENATE("R5C",'Mapa final'!$Q$38),"")</f>
        <v/>
      </c>
      <c r="AN30" s="84"/>
      <c r="AO30" s="413"/>
      <c r="AP30" s="414"/>
      <c r="AQ30" s="414"/>
      <c r="AR30" s="414"/>
      <c r="AS30" s="414"/>
      <c r="AT30" s="415"/>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82"/>
      <c r="C31" s="282"/>
      <c r="D31" s="283"/>
      <c r="E31" s="383"/>
      <c r="F31" s="384"/>
      <c r="G31" s="384"/>
      <c r="H31" s="384"/>
      <c r="I31" s="399"/>
      <c r="J31" s="68" t="str">
        <f>IF(AND('Mapa final'!$AA$39="Media",'Mapa final'!$AC$39="Leve"),CONCATENATE("R6C",'Mapa final'!$Q$39),"")</f>
        <v/>
      </c>
      <c r="K31" s="69" t="str">
        <f>IF(AND('Mapa final'!$AA$40="Media",'Mapa final'!$AC$40="Leve"),CONCATENATE("R6C",'Mapa final'!$Q$40),"")</f>
        <v/>
      </c>
      <c r="L31" s="69" t="str">
        <f>IF(AND('Mapa final'!$AA$41="Media",'Mapa final'!$AC$41="Leve"),CONCATENATE("R6C",'Mapa final'!$Q$41),"")</f>
        <v/>
      </c>
      <c r="M31" s="69" t="str">
        <f>IF(AND('Mapa final'!$AA$42="Media",'Mapa final'!$AC$42="Leve"),CONCATENATE("R6C",'Mapa final'!$Q$42),"")</f>
        <v/>
      </c>
      <c r="N31" s="69" t="str">
        <f>IF(AND('Mapa final'!$AA$43="Media",'Mapa final'!$AC$43="Leve"),CONCATENATE("R6C",'Mapa final'!$Q$43),"")</f>
        <v/>
      </c>
      <c r="O31" s="70" t="str">
        <f>IF(AND('Mapa final'!$AA$44="Media",'Mapa final'!$AC$44="Leve"),CONCATENATE("R6C",'Mapa final'!$Q$44),"")</f>
        <v/>
      </c>
      <c r="P31" s="68" t="str">
        <f>IF(AND('Mapa final'!$AA$39="Media",'Mapa final'!$AC$39="Menor"),CONCATENATE("R6C",'Mapa final'!$Q$39),"")</f>
        <v/>
      </c>
      <c r="Q31" s="69" t="str">
        <f>IF(AND('Mapa final'!$AA$40="Media",'Mapa final'!$AC$40="Menor"),CONCATENATE("R6C",'Mapa final'!$Q$40),"")</f>
        <v/>
      </c>
      <c r="R31" s="69" t="str">
        <f>IF(AND('Mapa final'!$AA$41="Media",'Mapa final'!$AC$41="Menor"),CONCATENATE("R6C",'Mapa final'!$Q$41),"")</f>
        <v/>
      </c>
      <c r="S31" s="69" t="str">
        <f>IF(AND('Mapa final'!$AA$42="Media",'Mapa final'!$AC$42="Menor"),CONCATENATE("R6C",'Mapa final'!$Q$42),"")</f>
        <v/>
      </c>
      <c r="T31" s="69" t="str">
        <f>IF(AND('Mapa final'!$AA$43="Media",'Mapa final'!$AC$43="Menor"),CONCATENATE("R6C",'Mapa final'!$Q$43),"")</f>
        <v/>
      </c>
      <c r="U31" s="70" t="str">
        <f>IF(AND('Mapa final'!$AA$44="Media",'Mapa final'!$AC$44="Menor"),CONCATENATE("R6C",'Mapa final'!$Q$44),"")</f>
        <v/>
      </c>
      <c r="V31" s="68" t="str">
        <f>IF(AND('Mapa final'!$AA$39="Media",'Mapa final'!$AC$39="Moderado"),CONCATENATE("R6C",'Mapa final'!$Q$39),"")</f>
        <v/>
      </c>
      <c r="W31" s="69" t="str">
        <f>IF(AND('Mapa final'!$AA$40="Media",'Mapa final'!$AC$40="Moderado"),CONCATENATE("R6C",'Mapa final'!$Q$40),"")</f>
        <v/>
      </c>
      <c r="X31" s="69" t="str">
        <f>IF(AND('Mapa final'!$AA$41="Media",'Mapa final'!$AC$41="Moderado"),CONCATENATE("R6C",'Mapa final'!$Q$41),"")</f>
        <v/>
      </c>
      <c r="Y31" s="69" t="str">
        <f>IF(AND('Mapa final'!$AA$42="Media",'Mapa final'!$AC$42="Moderado"),CONCATENATE("R6C",'Mapa final'!$Q$42),"")</f>
        <v/>
      </c>
      <c r="Z31" s="69" t="str">
        <f>IF(AND('Mapa final'!$AA$43="Media",'Mapa final'!$AC$43="Moderado"),CONCATENATE("R6C",'Mapa final'!$Q$43),"")</f>
        <v/>
      </c>
      <c r="AA31" s="70" t="str">
        <f>IF(AND('Mapa final'!$AA$44="Media",'Mapa final'!$AC$44="Moderado"),CONCATENATE("R6C",'Mapa final'!$Q$44),"")</f>
        <v/>
      </c>
      <c r="AB31" s="52" t="str">
        <f>IF(AND('Mapa final'!$AA$39="Media",'Mapa final'!$AC$39="Mayor"),CONCATENATE("R6C",'Mapa final'!$Q$39),"")</f>
        <v/>
      </c>
      <c r="AC31" s="53" t="str">
        <f>IF(AND('Mapa final'!$AA$40="Media",'Mapa final'!$AC$40="Mayor"),CONCATENATE("R6C",'Mapa final'!$Q$40),"")</f>
        <v/>
      </c>
      <c r="AD31" s="58" t="str">
        <f>IF(AND('Mapa final'!$AA$41="Media",'Mapa final'!$AC$41="Mayor"),CONCATENATE("R6C",'Mapa final'!$Q$41),"")</f>
        <v/>
      </c>
      <c r="AE31" s="58" t="str">
        <f>IF(AND('Mapa final'!$AA$42="Media",'Mapa final'!$AC$42="Mayor"),CONCATENATE("R6C",'Mapa final'!$Q$42),"")</f>
        <v/>
      </c>
      <c r="AF31" s="58" t="str">
        <f>IF(AND('Mapa final'!$AA$43="Media",'Mapa final'!$AC$43="Mayor"),CONCATENATE("R6C",'Mapa final'!$Q$43),"")</f>
        <v/>
      </c>
      <c r="AG31" s="54" t="str">
        <f>IF(AND('Mapa final'!$AA$44="Media",'Mapa final'!$AC$44="Mayor"),CONCATENATE("R6C",'Mapa final'!$Q$44),"")</f>
        <v/>
      </c>
      <c r="AH31" s="55" t="str">
        <f>IF(AND('Mapa final'!$AA$39="Media",'Mapa final'!$AC$39="Catastrófico"),CONCATENATE("R6C",'Mapa final'!$Q$39),"")</f>
        <v/>
      </c>
      <c r="AI31" s="56" t="str">
        <f>IF(AND('Mapa final'!$AA$40="Media",'Mapa final'!$AC$40="Catastrófico"),CONCATENATE("R6C",'Mapa final'!$Q$40),"")</f>
        <v/>
      </c>
      <c r="AJ31" s="56" t="str">
        <f>IF(AND('Mapa final'!$AA$41="Media",'Mapa final'!$AC$41="Catastrófico"),CONCATENATE("R6C",'Mapa final'!$Q$41),"")</f>
        <v/>
      </c>
      <c r="AK31" s="56" t="str">
        <f>IF(AND('Mapa final'!$AA$42="Media",'Mapa final'!$AC$42="Catastrófico"),CONCATENATE("R6C",'Mapa final'!$Q$42),"")</f>
        <v/>
      </c>
      <c r="AL31" s="56" t="str">
        <f>IF(AND('Mapa final'!$AA$43="Media",'Mapa final'!$AC$43="Catastrófico"),CONCATENATE("R6C",'Mapa final'!$Q$43),"")</f>
        <v/>
      </c>
      <c r="AM31" s="57" t="str">
        <f>IF(AND('Mapa final'!$AA$44="Media",'Mapa final'!$AC$44="Catastrófico"),CONCATENATE("R6C",'Mapa final'!$Q$44),"")</f>
        <v/>
      </c>
      <c r="AN31" s="84"/>
      <c r="AO31" s="413"/>
      <c r="AP31" s="414"/>
      <c r="AQ31" s="414"/>
      <c r="AR31" s="414"/>
      <c r="AS31" s="414"/>
      <c r="AT31" s="415"/>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82"/>
      <c r="C32" s="282"/>
      <c r="D32" s="283"/>
      <c r="E32" s="383"/>
      <c r="F32" s="384"/>
      <c r="G32" s="384"/>
      <c r="H32" s="384"/>
      <c r="I32" s="399"/>
      <c r="J32" s="68" t="str">
        <f>IF(AND('Mapa final'!$AA$45="Media",'Mapa final'!$AC$45="Leve"),CONCATENATE("R7C",'Mapa final'!$Q$45),"")</f>
        <v/>
      </c>
      <c r="K32" s="69" t="str">
        <f>IF(AND('Mapa final'!$AA$46="Media",'Mapa final'!$AC$46="Leve"),CONCATENATE("R7C",'Mapa final'!$Q$46),"")</f>
        <v/>
      </c>
      <c r="L32" s="69" t="str">
        <f>IF(AND('Mapa final'!$AA$47="Media",'Mapa final'!$AC$47="Leve"),CONCATENATE("R7C",'Mapa final'!$Q$47),"")</f>
        <v/>
      </c>
      <c r="M32" s="69" t="str">
        <f>IF(AND('Mapa final'!$AA$48="Media",'Mapa final'!$AC$48="Leve"),CONCATENATE("R7C",'Mapa final'!$Q$48),"")</f>
        <v/>
      </c>
      <c r="N32" s="69" t="str">
        <f>IF(AND('Mapa final'!$AA$49="Media",'Mapa final'!$AC$49="Leve"),CONCATENATE("R7C",'Mapa final'!$Q$49),"")</f>
        <v/>
      </c>
      <c r="O32" s="70" t="str">
        <f>IF(AND('Mapa final'!$AA$50="Media",'Mapa final'!$AC$50="Leve"),CONCATENATE("R7C",'Mapa final'!$Q$50),"")</f>
        <v/>
      </c>
      <c r="P32" s="68" t="str">
        <f>IF(AND('Mapa final'!$AA$45="Media",'Mapa final'!$AC$45="Menor"),CONCATENATE("R7C",'Mapa final'!$Q$45),"")</f>
        <v/>
      </c>
      <c r="Q32" s="69" t="str">
        <f>IF(AND('Mapa final'!$AA$46="Media",'Mapa final'!$AC$46="Menor"),CONCATENATE("R7C",'Mapa final'!$Q$46),"")</f>
        <v/>
      </c>
      <c r="R32" s="69" t="str">
        <f>IF(AND('Mapa final'!$AA$47="Media",'Mapa final'!$AC$47="Menor"),CONCATENATE("R7C",'Mapa final'!$Q$47),"")</f>
        <v/>
      </c>
      <c r="S32" s="69" t="str">
        <f>IF(AND('Mapa final'!$AA$48="Media",'Mapa final'!$AC$48="Menor"),CONCATENATE("R7C",'Mapa final'!$Q$48),"")</f>
        <v/>
      </c>
      <c r="T32" s="69" t="str">
        <f>IF(AND('Mapa final'!$AA$49="Media",'Mapa final'!$AC$49="Menor"),CONCATENATE("R7C",'Mapa final'!$Q$49),"")</f>
        <v/>
      </c>
      <c r="U32" s="70" t="str">
        <f>IF(AND('Mapa final'!$AA$50="Media",'Mapa final'!$AC$50="Menor"),CONCATENATE("R7C",'Mapa final'!$Q$50),"")</f>
        <v/>
      </c>
      <c r="V32" s="68" t="str">
        <f>IF(AND('Mapa final'!$AA$45="Media",'Mapa final'!$AC$45="Moderado"),CONCATENATE("R7C",'Mapa final'!$Q$45),"")</f>
        <v/>
      </c>
      <c r="W32" s="69" t="str">
        <f>IF(AND('Mapa final'!$AA$46="Media",'Mapa final'!$AC$46="Moderado"),CONCATENATE("R7C",'Mapa final'!$Q$46),"")</f>
        <v/>
      </c>
      <c r="X32" s="69" t="str">
        <f>IF(AND('Mapa final'!$AA$47="Media",'Mapa final'!$AC$47="Moderado"),CONCATENATE("R7C",'Mapa final'!$Q$47),"")</f>
        <v/>
      </c>
      <c r="Y32" s="69" t="str">
        <f>IF(AND('Mapa final'!$AA$48="Media",'Mapa final'!$AC$48="Moderado"),CONCATENATE("R7C",'Mapa final'!$Q$48),"")</f>
        <v/>
      </c>
      <c r="Z32" s="69" t="str">
        <f>IF(AND('Mapa final'!$AA$49="Media",'Mapa final'!$AC$49="Moderado"),CONCATENATE("R7C",'Mapa final'!$Q$49),"")</f>
        <v/>
      </c>
      <c r="AA32" s="70" t="str">
        <f>IF(AND('Mapa final'!$AA$50="Media",'Mapa final'!$AC$50="Moderado"),CONCATENATE("R7C",'Mapa final'!$Q$50),"")</f>
        <v/>
      </c>
      <c r="AB32" s="52" t="str">
        <f>IF(AND('Mapa final'!$AA$45="Media",'Mapa final'!$AC$45="Mayor"),CONCATENATE("R7C",'Mapa final'!$Q$45),"")</f>
        <v/>
      </c>
      <c r="AC32" s="53" t="str">
        <f>IF(AND('Mapa final'!$AA$46="Media",'Mapa final'!$AC$46="Mayor"),CONCATENATE("R7C",'Mapa final'!$Q$46),"")</f>
        <v/>
      </c>
      <c r="AD32" s="58" t="str">
        <f>IF(AND('Mapa final'!$AA$47="Media",'Mapa final'!$AC$47="Mayor"),CONCATENATE("R7C",'Mapa final'!$Q$47),"")</f>
        <v/>
      </c>
      <c r="AE32" s="58" t="str">
        <f>IF(AND('Mapa final'!$AA$48="Media",'Mapa final'!$AC$48="Mayor"),CONCATENATE("R7C",'Mapa final'!$Q$48),"")</f>
        <v/>
      </c>
      <c r="AF32" s="58" t="str">
        <f>IF(AND('Mapa final'!$AA$49="Media",'Mapa final'!$AC$49="Mayor"),CONCATENATE("R7C",'Mapa final'!$Q$49),"")</f>
        <v/>
      </c>
      <c r="AG32" s="54" t="str">
        <f>IF(AND('Mapa final'!$AA$50="Media",'Mapa final'!$AC$50="Mayor"),CONCATENATE("R7C",'Mapa final'!$Q$50),"")</f>
        <v/>
      </c>
      <c r="AH32" s="55" t="str">
        <f>IF(AND('Mapa final'!$AA$45="Media",'Mapa final'!$AC$45="Catastrófico"),CONCATENATE("R7C",'Mapa final'!$Q$45),"")</f>
        <v/>
      </c>
      <c r="AI32" s="56" t="str">
        <f>IF(AND('Mapa final'!$AA$46="Media",'Mapa final'!$AC$46="Catastrófico"),CONCATENATE("R7C",'Mapa final'!$Q$46),"")</f>
        <v/>
      </c>
      <c r="AJ32" s="56" t="str">
        <f>IF(AND('Mapa final'!$AA$47="Media",'Mapa final'!$AC$47="Catastrófico"),CONCATENATE("R7C",'Mapa final'!$Q$47),"")</f>
        <v/>
      </c>
      <c r="AK32" s="56" t="str">
        <f>IF(AND('Mapa final'!$AA$48="Media",'Mapa final'!$AC$48="Catastrófico"),CONCATENATE("R7C",'Mapa final'!$Q$48),"")</f>
        <v/>
      </c>
      <c r="AL32" s="56" t="str">
        <f>IF(AND('Mapa final'!$AA$49="Media",'Mapa final'!$AC$49="Catastrófico"),CONCATENATE("R7C",'Mapa final'!$Q$49),"")</f>
        <v/>
      </c>
      <c r="AM32" s="57" t="str">
        <f>IF(AND('Mapa final'!$AA$50="Media",'Mapa final'!$AC$50="Catastrófico"),CONCATENATE("R7C",'Mapa final'!$Q$50),"")</f>
        <v/>
      </c>
      <c r="AN32" s="84"/>
      <c r="AO32" s="413"/>
      <c r="AP32" s="414"/>
      <c r="AQ32" s="414"/>
      <c r="AR32" s="414"/>
      <c r="AS32" s="414"/>
      <c r="AT32" s="415"/>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82"/>
      <c r="C33" s="282"/>
      <c r="D33" s="283"/>
      <c r="E33" s="383"/>
      <c r="F33" s="384"/>
      <c r="G33" s="384"/>
      <c r="H33" s="384"/>
      <c r="I33" s="399"/>
      <c r="J33" s="68" t="str">
        <f>IF(AND('Mapa final'!$AA$51="Media",'Mapa final'!$AC$51="Leve"),CONCATENATE("R8C",'Mapa final'!$Q$51),"")</f>
        <v/>
      </c>
      <c r="K33" s="69" t="str">
        <f>IF(AND('Mapa final'!$AA$52="Media",'Mapa final'!$AC$52="Leve"),CONCATENATE("R8C",'Mapa final'!$Q$52),"")</f>
        <v/>
      </c>
      <c r="L33" s="69" t="str">
        <f>IF(AND('Mapa final'!$AA$53="Media",'Mapa final'!$AC$53="Leve"),CONCATENATE("R8C",'Mapa final'!$Q$53),"")</f>
        <v/>
      </c>
      <c r="M33" s="69" t="str">
        <f>IF(AND('Mapa final'!$AA$54="Media",'Mapa final'!$AC$54="Leve"),CONCATENATE("R8C",'Mapa final'!$Q$54),"")</f>
        <v/>
      </c>
      <c r="N33" s="69" t="str">
        <f>IF(AND('Mapa final'!$AA$55="Media",'Mapa final'!$AC$55="Leve"),CONCATENATE("R8C",'Mapa final'!$Q$55),"")</f>
        <v/>
      </c>
      <c r="O33" s="70" t="str">
        <f>IF(AND('Mapa final'!$AA$56="Media",'Mapa final'!$AC$56="Leve"),CONCATENATE("R8C",'Mapa final'!$Q$56),"")</f>
        <v/>
      </c>
      <c r="P33" s="68" t="str">
        <f>IF(AND('Mapa final'!$AA$51="Media",'Mapa final'!$AC$51="Menor"),CONCATENATE("R8C",'Mapa final'!$Q$51),"")</f>
        <v/>
      </c>
      <c r="Q33" s="69" t="str">
        <f>IF(AND('Mapa final'!$AA$52="Media",'Mapa final'!$AC$52="Menor"),CONCATENATE("R8C",'Mapa final'!$Q$52),"")</f>
        <v/>
      </c>
      <c r="R33" s="69" t="str">
        <f>IF(AND('Mapa final'!$AA$53="Media",'Mapa final'!$AC$53="Menor"),CONCATENATE("R8C",'Mapa final'!$Q$53),"")</f>
        <v/>
      </c>
      <c r="S33" s="69" t="str">
        <f>IF(AND('Mapa final'!$AA$54="Media",'Mapa final'!$AC$54="Menor"),CONCATENATE("R8C",'Mapa final'!$Q$54),"")</f>
        <v/>
      </c>
      <c r="T33" s="69" t="str">
        <f>IF(AND('Mapa final'!$AA$55="Media",'Mapa final'!$AC$55="Menor"),CONCATENATE("R8C",'Mapa final'!$Q$55),"")</f>
        <v/>
      </c>
      <c r="U33" s="70" t="str">
        <f>IF(AND('Mapa final'!$AA$56="Media",'Mapa final'!$AC$56="Menor"),CONCATENATE("R8C",'Mapa final'!$Q$56),"")</f>
        <v/>
      </c>
      <c r="V33" s="68" t="str">
        <f>IF(AND('Mapa final'!$AA$51="Media",'Mapa final'!$AC$51="Moderado"),CONCATENATE("R8C",'Mapa final'!$Q$51),"")</f>
        <v/>
      </c>
      <c r="W33" s="69" t="str">
        <f>IF(AND('Mapa final'!$AA$52="Media",'Mapa final'!$AC$52="Moderado"),CONCATENATE("R8C",'Mapa final'!$Q$52),"")</f>
        <v/>
      </c>
      <c r="X33" s="69" t="str">
        <f>IF(AND('Mapa final'!$AA$53="Media",'Mapa final'!$AC$53="Moderado"),CONCATENATE("R8C",'Mapa final'!$Q$53),"")</f>
        <v/>
      </c>
      <c r="Y33" s="69" t="str">
        <f>IF(AND('Mapa final'!$AA$54="Media",'Mapa final'!$AC$54="Moderado"),CONCATENATE("R8C",'Mapa final'!$Q$54),"")</f>
        <v/>
      </c>
      <c r="Z33" s="69" t="str">
        <f>IF(AND('Mapa final'!$AA$55="Media",'Mapa final'!$AC$55="Moderado"),CONCATENATE("R8C",'Mapa final'!$Q$55),"")</f>
        <v/>
      </c>
      <c r="AA33" s="70" t="str">
        <f>IF(AND('Mapa final'!$AA$56="Media",'Mapa final'!$AC$56="Moderado"),CONCATENATE("R8C",'Mapa final'!$Q$56),"")</f>
        <v/>
      </c>
      <c r="AB33" s="52" t="str">
        <f>IF(AND('Mapa final'!$AA$51="Media",'Mapa final'!$AC$51="Mayor"),CONCATENATE("R8C",'Mapa final'!$Q$51),"")</f>
        <v/>
      </c>
      <c r="AC33" s="53" t="str">
        <f>IF(AND('Mapa final'!$AA$52="Media",'Mapa final'!$AC$52="Mayor"),CONCATENATE("R8C",'Mapa final'!$Q$52),"")</f>
        <v/>
      </c>
      <c r="AD33" s="58" t="str">
        <f>IF(AND('Mapa final'!$AA$53="Media",'Mapa final'!$AC$53="Mayor"),CONCATENATE("R8C",'Mapa final'!$Q$53),"")</f>
        <v/>
      </c>
      <c r="AE33" s="58" t="str">
        <f>IF(AND('Mapa final'!$AA$54="Media",'Mapa final'!$AC$54="Mayor"),CONCATENATE("R8C",'Mapa final'!$Q$54),"")</f>
        <v/>
      </c>
      <c r="AF33" s="58" t="str">
        <f>IF(AND('Mapa final'!$AA$55="Media",'Mapa final'!$AC$55="Mayor"),CONCATENATE("R8C",'Mapa final'!$Q$55),"")</f>
        <v/>
      </c>
      <c r="AG33" s="54" t="str">
        <f>IF(AND('Mapa final'!$AA$56="Media",'Mapa final'!$AC$56="Mayor"),CONCATENATE("R8C",'Mapa final'!$Q$56),"")</f>
        <v/>
      </c>
      <c r="AH33" s="55" t="str">
        <f>IF(AND('Mapa final'!$AA$51="Media",'Mapa final'!$AC$51="Catastrófico"),CONCATENATE("R8C",'Mapa final'!$Q$51),"")</f>
        <v/>
      </c>
      <c r="AI33" s="56" t="str">
        <f>IF(AND('Mapa final'!$AA$52="Media",'Mapa final'!$AC$52="Catastrófico"),CONCATENATE("R8C",'Mapa final'!$Q$52),"")</f>
        <v/>
      </c>
      <c r="AJ33" s="56" t="str">
        <f>IF(AND('Mapa final'!$AA$53="Media",'Mapa final'!$AC$53="Catastrófico"),CONCATENATE("R8C",'Mapa final'!$Q$53),"")</f>
        <v/>
      </c>
      <c r="AK33" s="56" t="str">
        <f>IF(AND('Mapa final'!$AA$54="Media",'Mapa final'!$AC$54="Catastrófico"),CONCATENATE("R8C",'Mapa final'!$Q$54),"")</f>
        <v/>
      </c>
      <c r="AL33" s="56" t="str">
        <f>IF(AND('Mapa final'!$AA$55="Media",'Mapa final'!$AC$55="Catastrófico"),CONCATENATE("R8C",'Mapa final'!$Q$55),"")</f>
        <v/>
      </c>
      <c r="AM33" s="57" t="str">
        <f>IF(AND('Mapa final'!$AA$56="Media",'Mapa final'!$AC$56="Catastrófico"),CONCATENATE("R8C",'Mapa final'!$Q$56),"")</f>
        <v/>
      </c>
      <c r="AN33" s="84"/>
      <c r="AO33" s="413"/>
      <c r="AP33" s="414"/>
      <c r="AQ33" s="414"/>
      <c r="AR33" s="414"/>
      <c r="AS33" s="414"/>
      <c r="AT33" s="415"/>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82"/>
      <c r="C34" s="282"/>
      <c r="D34" s="283"/>
      <c r="E34" s="383"/>
      <c r="F34" s="384"/>
      <c r="G34" s="384"/>
      <c r="H34" s="384"/>
      <c r="I34" s="399"/>
      <c r="J34" s="68" t="str">
        <f>IF(AND('Mapa final'!$AA$57="Media",'Mapa final'!$AC$57="Leve"),CONCATENATE("R9C",'Mapa final'!$Q$57),"")</f>
        <v/>
      </c>
      <c r="K34" s="69" t="str">
        <f>IF(AND('Mapa final'!$AA$58="Media",'Mapa final'!$AC$58="Leve"),CONCATENATE("R9C",'Mapa final'!$Q$58),"")</f>
        <v/>
      </c>
      <c r="L34" s="69" t="str">
        <f>IF(AND('Mapa final'!$AA$59="Media",'Mapa final'!$AC$59="Leve"),CONCATENATE("R9C",'Mapa final'!$Q$59),"")</f>
        <v/>
      </c>
      <c r="M34" s="69" t="str">
        <f>IF(AND('Mapa final'!$AA$60="Media",'Mapa final'!$AC$60="Leve"),CONCATENATE("R9C",'Mapa final'!$Q$60),"")</f>
        <v/>
      </c>
      <c r="N34" s="69" t="str">
        <f>IF(AND('Mapa final'!$AA$61="Media",'Mapa final'!$AC$61="Leve"),CONCATENATE("R9C",'Mapa final'!$Q$61),"")</f>
        <v/>
      </c>
      <c r="O34" s="70" t="str">
        <f>IF(AND('Mapa final'!$AA$62="Media",'Mapa final'!$AC$62="Leve"),CONCATENATE("R9C",'Mapa final'!$Q$62),"")</f>
        <v/>
      </c>
      <c r="P34" s="68" t="str">
        <f>IF(AND('Mapa final'!$AA$57="Media",'Mapa final'!$AC$57="Menor"),CONCATENATE("R9C",'Mapa final'!$Q$57),"")</f>
        <v/>
      </c>
      <c r="Q34" s="69" t="str">
        <f>IF(AND('Mapa final'!$AA$58="Media",'Mapa final'!$AC$58="Menor"),CONCATENATE("R9C",'Mapa final'!$Q$58),"")</f>
        <v/>
      </c>
      <c r="R34" s="69" t="str">
        <f>IF(AND('Mapa final'!$AA$59="Media",'Mapa final'!$AC$59="Menor"),CONCATENATE("R9C",'Mapa final'!$Q$59),"")</f>
        <v/>
      </c>
      <c r="S34" s="69" t="str">
        <f>IF(AND('Mapa final'!$AA$60="Media",'Mapa final'!$AC$60="Menor"),CONCATENATE("R9C",'Mapa final'!$Q$60),"")</f>
        <v/>
      </c>
      <c r="T34" s="69" t="str">
        <f>IF(AND('Mapa final'!$AA$61="Media",'Mapa final'!$AC$61="Menor"),CONCATENATE("R9C",'Mapa final'!$Q$61),"")</f>
        <v/>
      </c>
      <c r="U34" s="70" t="str">
        <f>IF(AND('Mapa final'!$AA$62="Media",'Mapa final'!$AC$62="Menor"),CONCATENATE("R9C",'Mapa final'!$Q$62),"")</f>
        <v/>
      </c>
      <c r="V34" s="68" t="str">
        <f>IF(AND('Mapa final'!$AA$57="Media",'Mapa final'!$AC$57="Moderado"),CONCATENATE("R9C",'Mapa final'!$Q$57),"")</f>
        <v/>
      </c>
      <c r="W34" s="69" t="str">
        <f>IF(AND('Mapa final'!$AA$58="Media",'Mapa final'!$AC$58="Moderado"),CONCATENATE("R9C",'Mapa final'!$Q$58),"")</f>
        <v/>
      </c>
      <c r="X34" s="69" t="str">
        <f>IF(AND('Mapa final'!$AA$59="Media",'Mapa final'!$AC$59="Moderado"),CONCATENATE("R9C",'Mapa final'!$Q$59),"")</f>
        <v/>
      </c>
      <c r="Y34" s="69" t="str">
        <f>IF(AND('Mapa final'!$AA$60="Media",'Mapa final'!$AC$60="Moderado"),CONCATENATE("R9C",'Mapa final'!$Q$60),"")</f>
        <v/>
      </c>
      <c r="Z34" s="69" t="str">
        <f>IF(AND('Mapa final'!$AA$61="Media",'Mapa final'!$AC$61="Moderado"),CONCATENATE("R9C",'Mapa final'!$Q$61),"")</f>
        <v/>
      </c>
      <c r="AA34" s="70" t="str">
        <f>IF(AND('Mapa final'!$AA$62="Media",'Mapa final'!$AC$62="Moderado"),CONCATENATE("R9C",'Mapa final'!$Q$62),"")</f>
        <v/>
      </c>
      <c r="AB34" s="52" t="str">
        <f>IF(AND('Mapa final'!$AA$57="Media",'Mapa final'!$AC$57="Mayor"),CONCATENATE("R9C",'Mapa final'!$Q$57),"")</f>
        <v/>
      </c>
      <c r="AC34" s="53" t="str">
        <f>IF(AND('Mapa final'!$AA$58="Media",'Mapa final'!$AC$58="Mayor"),CONCATENATE("R9C",'Mapa final'!$Q$58),"")</f>
        <v/>
      </c>
      <c r="AD34" s="58" t="str">
        <f>IF(AND('Mapa final'!$AA$59="Media",'Mapa final'!$AC$59="Mayor"),CONCATENATE("R9C",'Mapa final'!$Q$59),"")</f>
        <v/>
      </c>
      <c r="AE34" s="58" t="str">
        <f>IF(AND('Mapa final'!$AA$60="Media",'Mapa final'!$AC$60="Mayor"),CONCATENATE("R9C",'Mapa final'!$Q$60),"")</f>
        <v/>
      </c>
      <c r="AF34" s="58" t="str">
        <f>IF(AND('Mapa final'!$AA$61="Media",'Mapa final'!$AC$61="Mayor"),CONCATENATE("R9C",'Mapa final'!$Q$61),"")</f>
        <v/>
      </c>
      <c r="AG34" s="54" t="str">
        <f>IF(AND('Mapa final'!$AA$62="Media",'Mapa final'!$AC$62="Mayor"),CONCATENATE("R9C",'Mapa final'!$Q$62),"")</f>
        <v/>
      </c>
      <c r="AH34" s="55" t="str">
        <f>IF(AND('Mapa final'!$AA$57="Media",'Mapa final'!$AC$57="Catastrófico"),CONCATENATE("R9C",'Mapa final'!$Q$57),"")</f>
        <v/>
      </c>
      <c r="AI34" s="56" t="str">
        <f>IF(AND('Mapa final'!$AA$58="Media",'Mapa final'!$AC$58="Catastrófico"),CONCATENATE("R9C",'Mapa final'!$Q$58),"")</f>
        <v/>
      </c>
      <c r="AJ34" s="56" t="str">
        <f>IF(AND('Mapa final'!$AA$59="Media",'Mapa final'!$AC$59="Catastrófico"),CONCATENATE("R9C",'Mapa final'!$Q$59),"")</f>
        <v/>
      </c>
      <c r="AK34" s="56" t="str">
        <f>IF(AND('Mapa final'!$AA$60="Media",'Mapa final'!$AC$60="Catastrófico"),CONCATENATE("R9C",'Mapa final'!$Q$60),"")</f>
        <v/>
      </c>
      <c r="AL34" s="56" t="str">
        <f>IF(AND('Mapa final'!$AA$61="Media",'Mapa final'!$AC$61="Catastrófico"),CONCATENATE("R9C",'Mapa final'!$Q$61),"")</f>
        <v/>
      </c>
      <c r="AM34" s="57" t="str">
        <f>IF(AND('Mapa final'!$AA$62="Media",'Mapa final'!$AC$62="Catastrófico"),CONCATENATE("R9C",'Mapa final'!$Q$62),"")</f>
        <v/>
      </c>
      <c r="AN34" s="84"/>
      <c r="AO34" s="413"/>
      <c r="AP34" s="414"/>
      <c r="AQ34" s="414"/>
      <c r="AR34" s="414"/>
      <c r="AS34" s="414"/>
      <c r="AT34" s="415"/>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82"/>
      <c r="C35" s="282"/>
      <c r="D35" s="283"/>
      <c r="E35" s="385"/>
      <c r="F35" s="386"/>
      <c r="G35" s="386"/>
      <c r="H35" s="386"/>
      <c r="I35" s="400"/>
      <c r="J35" s="68" t="str">
        <f>IF(AND('Mapa final'!$AA$63="Media",'Mapa final'!$AC$63="Leve"),CONCATENATE("R10C",'Mapa final'!$Q$63),"")</f>
        <v/>
      </c>
      <c r="K35" s="69" t="str">
        <f>IF(AND('Mapa final'!$AA$64="Media",'Mapa final'!$AC$64="Leve"),CONCATENATE("R10C",'Mapa final'!$Q$64),"")</f>
        <v/>
      </c>
      <c r="L35" s="69" t="str">
        <f>IF(AND('Mapa final'!$AA$65="Media",'Mapa final'!$AC$65="Leve"),CONCATENATE("R10C",'Mapa final'!$Q$65),"")</f>
        <v/>
      </c>
      <c r="M35" s="69" t="str">
        <f>IF(AND('Mapa final'!$AA$66="Media",'Mapa final'!$AC$66="Leve"),CONCATENATE("R10C",'Mapa final'!$Q$66),"")</f>
        <v/>
      </c>
      <c r="N35" s="69" t="str">
        <f>IF(AND('Mapa final'!$AA$67="Media",'Mapa final'!$AC$67="Leve"),CONCATENATE("R10C",'Mapa final'!$Q$67),"")</f>
        <v/>
      </c>
      <c r="O35" s="70" t="str">
        <f>IF(AND('Mapa final'!$AA$68="Media",'Mapa final'!$AC$68="Leve"),CONCATENATE("R10C",'Mapa final'!$Q$68),"")</f>
        <v/>
      </c>
      <c r="P35" s="68" t="str">
        <f>IF(AND('Mapa final'!$AA$63="Media",'Mapa final'!$AC$63="Menor"),CONCATENATE("R10C",'Mapa final'!$Q$63),"")</f>
        <v/>
      </c>
      <c r="Q35" s="69" t="str">
        <f>IF(AND('Mapa final'!$AA$64="Media",'Mapa final'!$AC$64="Menor"),CONCATENATE("R10C",'Mapa final'!$Q$64),"")</f>
        <v/>
      </c>
      <c r="R35" s="69" t="str">
        <f>IF(AND('Mapa final'!$AA$65="Media",'Mapa final'!$AC$65="Menor"),CONCATENATE("R10C",'Mapa final'!$Q$65),"")</f>
        <v/>
      </c>
      <c r="S35" s="69" t="str">
        <f>IF(AND('Mapa final'!$AA$66="Media",'Mapa final'!$AC$66="Menor"),CONCATENATE("R10C",'Mapa final'!$Q$66),"")</f>
        <v/>
      </c>
      <c r="T35" s="69" t="str">
        <f>IF(AND('Mapa final'!$AA$67="Media",'Mapa final'!$AC$67="Menor"),CONCATENATE("R10C",'Mapa final'!$Q$67),"")</f>
        <v/>
      </c>
      <c r="U35" s="70" t="str">
        <f>IF(AND('Mapa final'!$AA$68="Media",'Mapa final'!$AC$68="Menor"),CONCATENATE("R10C",'Mapa final'!$Q$68),"")</f>
        <v/>
      </c>
      <c r="V35" s="68" t="str">
        <f>IF(AND('Mapa final'!$AA$63="Media",'Mapa final'!$AC$63="Moderado"),CONCATENATE("R10C",'Mapa final'!$Q$63),"")</f>
        <v/>
      </c>
      <c r="W35" s="69" t="str">
        <f>IF(AND('Mapa final'!$AA$64="Media",'Mapa final'!$AC$64="Moderado"),CONCATENATE("R10C",'Mapa final'!$Q$64),"")</f>
        <v/>
      </c>
      <c r="X35" s="69" t="str">
        <f>IF(AND('Mapa final'!$AA$65="Media",'Mapa final'!$AC$65="Moderado"),CONCATENATE("R10C",'Mapa final'!$Q$65),"")</f>
        <v/>
      </c>
      <c r="Y35" s="69" t="str">
        <f>IF(AND('Mapa final'!$AA$66="Media",'Mapa final'!$AC$66="Moderado"),CONCATENATE("R10C",'Mapa final'!$Q$66),"")</f>
        <v/>
      </c>
      <c r="Z35" s="69" t="str">
        <f>IF(AND('Mapa final'!$AA$67="Media",'Mapa final'!$AC$67="Moderado"),CONCATENATE("R10C",'Mapa final'!$Q$67),"")</f>
        <v/>
      </c>
      <c r="AA35" s="70" t="str">
        <f>IF(AND('Mapa final'!$AA$68="Media",'Mapa final'!$AC$68="Moderado"),CONCATENATE("R10C",'Mapa final'!$Q$68),"")</f>
        <v/>
      </c>
      <c r="AB35" s="59" t="str">
        <f>IF(AND('Mapa final'!$AA$63="Media",'Mapa final'!$AC$63="Mayor"),CONCATENATE("R10C",'Mapa final'!$Q$63),"")</f>
        <v/>
      </c>
      <c r="AC35" s="60" t="str">
        <f>IF(AND('Mapa final'!$AA$64="Media",'Mapa final'!$AC$64="Mayor"),CONCATENATE("R10C",'Mapa final'!$Q$64),"")</f>
        <v/>
      </c>
      <c r="AD35" s="60" t="str">
        <f>IF(AND('Mapa final'!$AA$65="Media",'Mapa final'!$AC$65="Mayor"),CONCATENATE("R10C",'Mapa final'!$Q$65),"")</f>
        <v/>
      </c>
      <c r="AE35" s="60" t="str">
        <f>IF(AND('Mapa final'!$AA$66="Media",'Mapa final'!$AC$66="Mayor"),CONCATENATE("R10C",'Mapa final'!$Q$66),"")</f>
        <v/>
      </c>
      <c r="AF35" s="60" t="str">
        <f>IF(AND('Mapa final'!$AA$67="Media",'Mapa final'!$AC$67="Mayor"),CONCATENATE("R10C",'Mapa final'!$Q$67),"")</f>
        <v/>
      </c>
      <c r="AG35" s="61" t="str">
        <f>IF(AND('Mapa final'!$AA$68="Media",'Mapa final'!$AC$68="Mayor"),CONCATENATE("R10C",'Mapa final'!$Q$68),"")</f>
        <v/>
      </c>
      <c r="AH35" s="62" t="str">
        <f>IF(AND('Mapa final'!$AA$63="Media",'Mapa final'!$AC$63="Catastrófico"),CONCATENATE("R10C",'Mapa final'!$Q$63),"")</f>
        <v/>
      </c>
      <c r="AI35" s="63" t="str">
        <f>IF(AND('Mapa final'!$AA$64="Media",'Mapa final'!$AC$64="Catastrófico"),CONCATENATE("R10C",'Mapa final'!$Q$64),"")</f>
        <v/>
      </c>
      <c r="AJ35" s="63" t="str">
        <f>IF(AND('Mapa final'!$AA$65="Media",'Mapa final'!$AC$65="Catastrófico"),CONCATENATE("R10C",'Mapa final'!$Q$65),"")</f>
        <v/>
      </c>
      <c r="AK35" s="63" t="str">
        <f>IF(AND('Mapa final'!$AA$66="Media",'Mapa final'!$AC$66="Catastrófico"),CONCATENATE("R10C",'Mapa final'!$Q$66),"")</f>
        <v/>
      </c>
      <c r="AL35" s="63" t="str">
        <f>IF(AND('Mapa final'!$AA$67="Media",'Mapa final'!$AC$67="Catastrófico"),CONCATENATE("R10C",'Mapa final'!$Q$67),"")</f>
        <v/>
      </c>
      <c r="AM35" s="64" t="str">
        <f>IF(AND('Mapa final'!$AA$68="Media",'Mapa final'!$AC$68="Catastrófico"),CONCATENATE("R10C",'Mapa final'!$Q$68),"")</f>
        <v/>
      </c>
      <c r="AN35" s="84"/>
      <c r="AO35" s="416"/>
      <c r="AP35" s="417"/>
      <c r="AQ35" s="417"/>
      <c r="AR35" s="417"/>
      <c r="AS35" s="417"/>
      <c r="AT35" s="418"/>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82"/>
      <c r="C36" s="282"/>
      <c r="D36" s="283"/>
      <c r="E36" s="379" t="s">
        <v>106</v>
      </c>
      <c r="F36" s="380"/>
      <c r="G36" s="380"/>
      <c r="H36" s="380"/>
      <c r="I36" s="380"/>
      <c r="J36" s="74" t="str">
        <f ca="1">IF(AND('Mapa final'!$AA$11="Baja",'Mapa final'!$AC$11="Leve"),CONCATENATE("R1C",'Mapa final'!$Q$11),"")</f>
        <v/>
      </c>
      <c r="K36" s="75" t="str">
        <f ca="1">IF(AND('Mapa final'!$AA$12="Baja",'Mapa final'!$AC$12="Leve"),CONCATENATE("R1C",'Mapa final'!$Q$12),"")</f>
        <v/>
      </c>
      <c r="L36" s="75" t="e">
        <f>IF(AND('Mapa final'!#REF!="Baja",'Mapa final'!#REF!="Leve"),CONCATENATE("R1C",'Mapa final'!#REF!),"")</f>
        <v>#REF!</v>
      </c>
      <c r="M36" s="75" t="e">
        <f>IF(AND('Mapa final'!#REF!="Baja",'Mapa final'!#REF!="Leve"),CONCATENATE("R1C",'Mapa final'!#REF!),"")</f>
        <v>#REF!</v>
      </c>
      <c r="N36" s="75" t="str">
        <f>IF(AND('Mapa final'!$AA$13="Baja",'Mapa final'!$AC$13="Leve"),CONCATENATE("R1C",'Mapa final'!$Q$13),"")</f>
        <v/>
      </c>
      <c r="O36" s="76" t="str">
        <f>IF(AND('Mapa final'!$AA$14="Baja",'Mapa final'!$AC$14="Leve"),CONCATENATE("R1C",'Mapa final'!$Q$14),"")</f>
        <v/>
      </c>
      <c r="P36" s="65" t="str">
        <f ca="1">IF(AND('Mapa final'!$AA$11="Baja",'Mapa final'!$AC$11="Menor"),CONCATENATE("R1C",'Mapa final'!$Q$11),"")</f>
        <v/>
      </c>
      <c r="Q36" s="66" t="str">
        <f ca="1">IF(AND('Mapa final'!$AA$12="Baja",'Mapa final'!$AC$12="Menor"),CONCATENATE("R1C",'Mapa final'!$Q$12),"")</f>
        <v/>
      </c>
      <c r="R36" s="66" t="e">
        <f>IF(AND('Mapa final'!#REF!="Baja",'Mapa final'!#REF!="Menor"),CONCATENATE("R1C",'Mapa final'!#REF!),"")</f>
        <v>#REF!</v>
      </c>
      <c r="S36" s="66" t="e">
        <f>IF(AND('Mapa final'!#REF!="Baja",'Mapa final'!#REF!="Menor"),CONCATENATE("R1C",'Mapa final'!#REF!),"")</f>
        <v>#REF!</v>
      </c>
      <c r="T36" s="66" t="str">
        <f>IF(AND('Mapa final'!$AA$13="Baja",'Mapa final'!$AC$13="Menor"),CONCATENATE("R1C",'Mapa final'!$Q$13),"")</f>
        <v/>
      </c>
      <c r="U36" s="67" t="str">
        <f>IF(AND('Mapa final'!$AA$14="Baja",'Mapa final'!$AC$14="Menor"),CONCATENATE("R1C",'Mapa final'!$Q$14),"")</f>
        <v/>
      </c>
      <c r="V36" s="65" t="str">
        <f ca="1">IF(AND('Mapa final'!$AA$11="Baja",'Mapa final'!$AC$11="Moderado"),CONCATENATE("R1C",'Mapa final'!$Q$11),"")</f>
        <v>R1C1</v>
      </c>
      <c r="W36" s="66" t="str">
        <f ca="1">IF(AND('Mapa final'!$AA$12="Baja",'Mapa final'!$AC$12="Moderado"),CONCATENATE("R1C",'Mapa final'!$Q$12),"")</f>
        <v>R1C2</v>
      </c>
      <c r="X36" s="66" t="e">
        <f>IF(AND('Mapa final'!#REF!="Baja",'Mapa final'!#REF!="Moderado"),CONCATENATE("R1C",'Mapa final'!#REF!),"")</f>
        <v>#REF!</v>
      </c>
      <c r="Y36" s="66" t="e">
        <f>IF(AND('Mapa final'!#REF!="Baja",'Mapa final'!#REF!="Moderado"),CONCATENATE("R1C",'Mapa final'!#REF!),"")</f>
        <v>#REF!</v>
      </c>
      <c r="Z36" s="66" t="str">
        <f>IF(AND('Mapa final'!$AA$13="Baja",'Mapa final'!$AC$13="Moderado"),CONCATENATE("R1C",'Mapa final'!$Q$13),"")</f>
        <v/>
      </c>
      <c r="AA36" s="67" t="str">
        <f>IF(AND('Mapa final'!$AA$14="Baja",'Mapa final'!$AC$14="Moderado"),CONCATENATE("R1C",'Mapa final'!$Q$14),"")</f>
        <v/>
      </c>
      <c r="AB36" s="46" t="str">
        <f ca="1">IF(AND('Mapa final'!$AA$11="Baja",'Mapa final'!$AC$11="Mayor"),CONCATENATE("R1C",'Mapa final'!$Q$11),"")</f>
        <v/>
      </c>
      <c r="AC36" s="47" t="str">
        <f ca="1">IF(AND('Mapa final'!$AA$12="Baja",'Mapa final'!$AC$12="Mayor"),CONCATENATE("R1C",'Mapa final'!$Q$12),"")</f>
        <v/>
      </c>
      <c r="AD36" s="47" t="e">
        <f>IF(AND('Mapa final'!#REF!="Baja",'Mapa final'!#REF!="Mayor"),CONCATENATE("R1C",'Mapa final'!#REF!),"")</f>
        <v>#REF!</v>
      </c>
      <c r="AE36" s="47" t="e">
        <f>IF(AND('Mapa final'!#REF!="Baja",'Mapa final'!#REF!="Mayor"),CONCATENATE("R1C",'Mapa final'!#REF!),"")</f>
        <v>#REF!</v>
      </c>
      <c r="AF36" s="47" t="str">
        <f>IF(AND('Mapa final'!$AA$13="Baja",'Mapa final'!$AC$13="Mayor"),CONCATENATE("R1C",'Mapa final'!$Q$13),"")</f>
        <v/>
      </c>
      <c r="AG36" s="48" t="str">
        <f>IF(AND('Mapa final'!$AA$14="Baja",'Mapa final'!$AC$14="Mayor"),CONCATENATE("R1C",'Mapa final'!$Q$14),"")</f>
        <v/>
      </c>
      <c r="AH36" s="49" t="str">
        <f ca="1">IF(AND('Mapa final'!$AA$11="Baja",'Mapa final'!$AC$11="Catastrófico"),CONCATENATE("R1C",'Mapa final'!$Q$11),"")</f>
        <v/>
      </c>
      <c r="AI36" s="50" t="str">
        <f ca="1">IF(AND('Mapa final'!$AA$12="Baja",'Mapa final'!$AC$12="Catastrófico"),CONCATENATE("R1C",'Mapa final'!$Q$12),"")</f>
        <v/>
      </c>
      <c r="AJ36" s="50" t="e">
        <f>IF(AND('Mapa final'!#REF!="Baja",'Mapa final'!#REF!="Catastrófico"),CONCATENATE("R1C",'Mapa final'!#REF!),"")</f>
        <v>#REF!</v>
      </c>
      <c r="AK36" s="50" t="e">
        <f>IF(AND('Mapa final'!#REF!="Baja",'Mapa final'!#REF!="Catastrófico"),CONCATENATE("R1C",'Mapa final'!#REF!),"")</f>
        <v>#REF!</v>
      </c>
      <c r="AL36" s="50" t="str">
        <f>IF(AND('Mapa final'!$AA$13="Baja",'Mapa final'!$AC$13="Catastrófico"),CONCATENATE("R1C",'Mapa final'!$Q$13),"")</f>
        <v/>
      </c>
      <c r="AM36" s="51" t="str">
        <f>IF(AND('Mapa final'!$AA$14="Baja",'Mapa final'!$AC$14="Catastrófico"),CONCATENATE("R1C",'Mapa final'!$Q$14),"")</f>
        <v/>
      </c>
      <c r="AN36" s="84"/>
      <c r="AO36" s="401" t="s">
        <v>79</v>
      </c>
      <c r="AP36" s="402"/>
      <c r="AQ36" s="402"/>
      <c r="AR36" s="402"/>
      <c r="AS36" s="402"/>
      <c r="AT36" s="403"/>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82"/>
      <c r="C37" s="282"/>
      <c r="D37" s="283"/>
      <c r="E37" s="381"/>
      <c r="F37" s="382"/>
      <c r="G37" s="382"/>
      <c r="H37" s="382"/>
      <c r="I37" s="382"/>
      <c r="J37" s="77" t="str">
        <f>IF(AND('Mapa final'!$AA$15="Baja",'Mapa final'!$AC$15="Leve"),CONCATENATE("R2C",'Mapa final'!$Q$15),"")</f>
        <v/>
      </c>
      <c r="K37" s="78" t="str">
        <f>IF(AND('Mapa final'!$AA$16="Baja",'Mapa final'!$AC$16="Leve"),CONCATENATE("R2C",'Mapa final'!$Q$16),"")</f>
        <v/>
      </c>
      <c r="L37" s="78" t="str">
        <f>IF(AND('Mapa final'!$AA$17="Baja",'Mapa final'!$AC$17="Leve"),CONCATENATE("R2C",'Mapa final'!$Q$17),"")</f>
        <v/>
      </c>
      <c r="M37" s="78" t="str">
        <f>IF(AND('Mapa final'!$AA$18="Baja",'Mapa final'!$AC$18="Leve"),CONCATENATE("R2C",'Mapa final'!$Q$18),"")</f>
        <v/>
      </c>
      <c r="N37" s="78" t="str">
        <f>IF(AND('Mapa final'!$AA$19="Baja",'Mapa final'!$AC$19="Leve"),CONCATENATE("R2C",'Mapa final'!$Q$19),"")</f>
        <v/>
      </c>
      <c r="O37" s="79" t="str">
        <f>IF(AND('Mapa final'!$AA$20="Baja",'Mapa final'!$AC$20="Leve"),CONCATENATE("R2C",'Mapa final'!$Q$20),"")</f>
        <v/>
      </c>
      <c r="P37" s="68" t="str">
        <f>IF(AND('Mapa final'!$AA$15="Baja",'Mapa final'!$AC$15="Menor"),CONCATENATE("R2C",'Mapa final'!$Q$15),"")</f>
        <v/>
      </c>
      <c r="Q37" s="69" t="str">
        <f>IF(AND('Mapa final'!$AA$16="Baja",'Mapa final'!$AC$16="Menor"),CONCATENATE("R2C",'Mapa final'!$Q$16),"")</f>
        <v/>
      </c>
      <c r="R37" s="69" t="str">
        <f>IF(AND('Mapa final'!$AA$17="Baja",'Mapa final'!$AC$17="Menor"),CONCATENATE("R2C",'Mapa final'!$Q$17),"")</f>
        <v/>
      </c>
      <c r="S37" s="69" t="str">
        <f>IF(AND('Mapa final'!$AA$18="Baja",'Mapa final'!$AC$18="Menor"),CONCATENATE("R2C",'Mapa final'!$Q$18),"")</f>
        <v/>
      </c>
      <c r="T37" s="69" t="str">
        <f>IF(AND('Mapa final'!$AA$19="Baja",'Mapa final'!$AC$19="Menor"),CONCATENATE("R2C",'Mapa final'!$Q$19),"")</f>
        <v/>
      </c>
      <c r="U37" s="70" t="str">
        <f>IF(AND('Mapa final'!$AA$20="Baja",'Mapa final'!$AC$20="Menor"),CONCATENATE("R2C",'Mapa final'!$Q$20),"")</f>
        <v/>
      </c>
      <c r="V37" s="68" t="str">
        <f>IF(AND('Mapa final'!$AA$15="Baja",'Mapa final'!$AC$15="Moderado"),CONCATENATE("R2C",'Mapa final'!$Q$15),"")</f>
        <v/>
      </c>
      <c r="W37" s="69" t="str">
        <f>IF(AND('Mapa final'!$AA$16="Baja",'Mapa final'!$AC$16="Moderado"),CONCATENATE("R2C",'Mapa final'!$Q$16),"")</f>
        <v/>
      </c>
      <c r="X37" s="69" t="str">
        <f>IF(AND('Mapa final'!$AA$17="Baja",'Mapa final'!$AC$17="Moderado"),CONCATENATE("R2C",'Mapa final'!$Q$17),"")</f>
        <v/>
      </c>
      <c r="Y37" s="69" t="str">
        <f>IF(AND('Mapa final'!$AA$18="Baja",'Mapa final'!$AC$18="Moderado"),CONCATENATE("R2C",'Mapa final'!$Q$18),"")</f>
        <v/>
      </c>
      <c r="Z37" s="69" t="str">
        <f>IF(AND('Mapa final'!$AA$19="Baja",'Mapa final'!$AC$19="Moderado"),CONCATENATE("R2C",'Mapa final'!$Q$19),"")</f>
        <v/>
      </c>
      <c r="AA37" s="70" t="str">
        <f>IF(AND('Mapa final'!$AA$20="Baja",'Mapa final'!$AC$20="Moderado"),CONCATENATE("R2C",'Mapa final'!$Q$20),"")</f>
        <v/>
      </c>
      <c r="AB37" s="52" t="str">
        <f>IF(AND('Mapa final'!$AA$15="Baja",'Mapa final'!$AC$15="Mayor"),CONCATENATE("R2C",'Mapa final'!$Q$15),"")</f>
        <v/>
      </c>
      <c r="AC37" s="53" t="str">
        <f>IF(AND('Mapa final'!$AA$16="Baja",'Mapa final'!$AC$16="Mayor"),CONCATENATE("R2C",'Mapa final'!$Q$16),"")</f>
        <v/>
      </c>
      <c r="AD37" s="53" t="str">
        <f>IF(AND('Mapa final'!$AA$17="Baja",'Mapa final'!$AC$17="Mayor"),CONCATENATE("R2C",'Mapa final'!$Q$17),"")</f>
        <v/>
      </c>
      <c r="AE37" s="53" t="str">
        <f>IF(AND('Mapa final'!$AA$18="Baja",'Mapa final'!$AC$18="Mayor"),CONCATENATE("R2C",'Mapa final'!$Q$18),"")</f>
        <v/>
      </c>
      <c r="AF37" s="53" t="str">
        <f>IF(AND('Mapa final'!$AA$19="Baja",'Mapa final'!$AC$19="Mayor"),CONCATENATE("R2C",'Mapa final'!$Q$19),"")</f>
        <v/>
      </c>
      <c r="AG37" s="54" t="str">
        <f>IF(AND('Mapa final'!$AA$20="Baja",'Mapa final'!$AC$20="Mayor"),CONCATENATE("R2C",'Mapa final'!$Q$20),"")</f>
        <v/>
      </c>
      <c r="AH37" s="55" t="str">
        <f>IF(AND('Mapa final'!$AA$15="Baja",'Mapa final'!$AC$15="Catastrófico"),CONCATENATE("R2C",'Mapa final'!$Q$15),"")</f>
        <v/>
      </c>
      <c r="AI37" s="56" t="str">
        <f>IF(AND('Mapa final'!$AA$16="Baja",'Mapa final'!$AC$16="Catastrófico"),CONCATENATE("R2C",'Mapa final'!$Q$16),"")</f>
        <v/>
      </c>
      <c r="AJ37" s="56" t="str">
        <f>IF(AND('Mapa final'!$AA$17="Baja",'Mapa final'!$AC$17="Catastrófico"),CONCATENATE("R2C",'Mapa final'!$Q$17),"")</f>
        <v/>
      </c>
      <c r="AK37" s="56" t="str">
        <f>IF(AND('Mapa final'!$AA$18="Baja",'Mapa final'!$AC$18="Catastrófico"),CONCATENATE("R2C",'Mapa final'!$Q$18),"")</f>
        <v/>
      </c>
      <c r="AL37" s="56" t="str">
        <f>IF(AND('Mapa final'!$AA$19="Baja",'Mapa final'!$AC$19="Catastrófico"),CONCATENATE("R2C",'Mapa final'!$Q$19),"")</f>
        <v/>
      </c>
      <c r="AM37" s="57" t="str">
        <f>IF(AND('Mapa final'!$AA$20="Baja",'Mapa final'!$AC$20="Catastrófico"),CONCATENATE("R2C",'Mapa final'!$Q$20),"")</f>
        <v/>
      </c>
      <c r="AN37" s="84"/>
      <c r="AO37" s="404"/>
      <c r="AP37" s="405"/>
      <c r="AQ37" s="405"/>
      <c r="AR37" s="405"/>
      <c r="AS37" s="405"/>
      <c r="AT37" s="406"/>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82"/>
      <c r="C38" s="282"/>
      <c r="D38" s="283"/>
      <c r="E38" s="383"/>
      <c r="F38" s="384"/>
      <c r="G38" s="384"/>
      <c r="H38" s="384"/>
      <c r="I38" s="382"/>
      <c r="J38" s="77" t="str">
        <f>IF(AND('Mapa final'!$AA$21="Baja",'Mapa final'!$AC$21="Leve"),CONCATENATE("R3C",'Mapa final'!$Q$21),"")</f>
        <v/>
      </c>
      <c r="K38" s="78" t="str">
        <f>IF(AND('Mapa final'!$AA$22="Baja",'Mapa final'!$AC$22="Leve"),CONCATENATE("R3C",'Mapa final'!$Q$22),"")</f>
        <v/>
      </c>
      <c r="L38" s="78" t="str">
        <f>IF(AND('Mapa final'!$AA$23="Baja",'Mapa final'!$AC$23="Leve"),CONCATENATE("R3C",'Mapa final'!$Q$23),"")</f>
        <v/>
      </c>
      <c r="M38" s="78" t="str">
        <f>IF(AND('Mapa final'!$AA$24="Baja",'Mapa final'!$AC$24="Leve"),CONCATENATE("R3C",'Mapa final'!$Q$24),"")</f>
        <v/>
      </c>
      <c r="N38" s="78" t="str">
        <f>IF(AND('Mapa final'!$AA$25="Baja",'Mapa final'!$AC$25="Leve"),CONCATENATE("R3C",'Mapa final'!$Q$25),"")</f>
        <v/>
      </c>
      <c r="O38" s="79" t="str">
        <f>IF(AND('Mapa final'!$AA$26="Baja",'Mapa final'!$AC$26="Leve"),CONCATENATE("R3C",'Mapa final'!$Q$26),"")</f>
        <v/>
      </c>
      <c r="P38" s="68" t="str">
        <f>IF(AND('Mapa final'!$AA$21="Baja",'Mapa final'!$AC$21="Menor"),CONCATENATE("R3C",'Mapa final'!$Q$21),"")</f>
        <v/>
      </c>
      <c r="Q38" s="69" t="str">
        <f>IF(AND('Mapa final'!$AA$22="Baja",'Mapa final'!$AC$22="Menor"),CONCATENATE("R3C",'Mapa final'!$Q$22),"")</f>
        <v/>
      </c>
      <c r="R38" s="69" t="str">
        <f>IF(AND('Mapa final'!$AA$23="Baja",'Mapa final'!$AC$23="Menor"),CONCATENATE("R3C",'Mapa final'!$Q$23),"")</f>
        <v/>
      </c>
      <c r="S38" s="69" t="str">
        <f>IF(AND('Mapa final'!$AA$24="Baja",'Mapa final'!$AC$24="Menor"),CONCATENATE("R3C",'Mapa final'!$Q$24),"")</f>
        <v/>
      </c>
      <c r="T38" s="69" t="str">
        <f>IF(AND('Mapa final'!$AA$25="Baja",'Mapa final'!$AC$25="Menor"),CONCATENATE("R3C",'Mapa final'!$Q$25),"")</f>
        <v/>
      </c>
      <c r="U38" s="70" t="str">
        <f>IF(AND('Mapa final'!$AA$26="Baja",'Mapa final'!$AC$26="Menor"),CONCATENATE("R3C",'Mapa final'!$Q$26),"")</f>
        <v/>
      </c>
      <c r="V38" s="68" t="str">
        <f>IF(AND('Mapa final'!$AA$21="Baja",'Mapa final'!$AC$21="Moderado"),CONCATENATE("R3C",'Mapa final'!$Q$21),"")</f>
        <v/>
      </c>
      <c r="W38" s="69" t="str">
        <f>IF(AND('Mapa final'!$AA$22="Baja",'Mapa final'!$AC$22="Moderado"),CONCATENATE("R3C",'Mapa final'!$Q$22),"")</f>
        <v/>
      </c>
      <c r="X38" s="69" t="str">
        <f>IF(AND('Mapa final'!$AA$23="Baja",'Mapa final'!$AC$23="Moderado"),CONCATENATE("R3C",'Mapa final'!$Q$23),"")</f>
        <v/>
      </c>
      <c r="Y38" s="69" t="str">
        <f>IF(AND('Mapa final'!$AA$24="Baja",'Mapa final'!$AC$24="Moderado"),CONCATENATE("R3C",'Mapa final'!$Q$24),"")</f>
        <v/>
      </c>
      <c r="Z38" s="69" t="str">
        <f>IF(AND('Mapa final'!$AA$25="Baja",'Mapa final'!$AC$25="Moderado"),CONCATENATE("R3C",'Mapa final'!$Q$25),"")</f>
        <v/>
      </c>
      <c r="AA38" s="70" t="str">
        <f>IF(AND('Mapa final'!$AA$26="Baja",'Mapa final'!$AC$26="Moderado"),CONCATENATE("R3C",'Mapa final'!$Q$26),"")</f>
        <v/>
      </c>
      <c r="AB38" s="52" t="str">
        <f>IF(AND('Mapa final'!$AA$21="Baja",'Mapa final'!$AC$21="Mayor"),CONCATENATE("R3C",'Mapa final'!$Q$21),"")</f>
        <v/>
      </c>
      <c r="AC38" s="53" t="str">
        <f>IF(AND('Mapa final'!$AA$22="Baja",'Mapa final'!$AC$22="Mayor"),CONCATENATE("R3C",'Mapa final'!$Q$22),"")</f>
        <v/>
      </c>
      <c r="AD38" s="53" t="str">
        <f>IF(AND('Mapa final'!$AA$23="Baja",'Mapa final'!$AC$23="Mayor"),CONCATENATE("R3C",'Mapa final'!$Q$23),"")</f>
        <v/>
      </c>
      <c r="AE38" s="53" t="str">
        <f>IF(AND('Mapa final'!$AA$24="Baja",'Mapa final'!$AC$24="Mayor"),CONCATENATE("R3C",'Mapa final'!$Q$24),"")</f>
        <v/>
      </c>
      <c r="AF38" s="53" t="str">
        <f>IF(AND('Mapa final'!$AA$25="Baja",'Mapa final'!$AC$25="Mayor"),CONCATENATE("R3C",'Mapa final'!$Q$25),"")</f>
        <v/>
      </c>
      <c r="AG38" s="54" t="str">
        <f>IF(AND('Mapa final'!$AA$26="Baja",'Mapa final'!$AC$26="Mayor"),CONCATENATE("R3C",'Mapa final'!$Q$26),"")</f>
        <v/>
      </c>
      <c r="AH38" s="55" t="str">
        <f>IF(AND('Mapa final'!$AA$21="Baja",'Mapa final'!$AC$21="Catastrófico"),CONCATENATE("R3C",'Mapa final'!$Q$21),"")</f>
        <v/>
      </c>
      <c r="AI38" s="56" t="str">
        <f>IF(AND('Mapa final'!$AA$22="Baja",'Mapa final'!$AC$22="Catastrófico"),CONCATENATE("R3C",'Mapa final'!$Q$22),"")</f>
        <v/>
      </c>
      <c r="AJ38" s="56" t="str">
        <f>IF(AND('Mapa final'!$AA$23="Baja",'Mapa final'!$AC$23="Catastrófico"),CONCATENATE("R3C",'Mapa final'!$Q$23),"")</f>
        <v/>
      </c>
      <c r="AK38" s="56" t="str">
        <f>IF(AND('Mapa final'!$AA$24="Baja",'Mapa final'!$AC$24="Catastrófico"),CONCATENATE("R3C",'Mapa final'!$Q$24),"")</f>
        <v/>
      </c>
      <c r="AL38" s="56" t="str">
        <f>IF(AND('Mapa final'!$AA$25="Baja",'Mapa final'!$AC$25="Catastrófico"),CONCATENATE("R3C",'Mapa final'!$Q$25),"")</f>
        <v/>
      </c>
      <c r="AM38" s="57" t="str">
        <f>IF(AND('Mapa final'!$AA$26="Baja",'Mapa final'!$AC$26="Catastrófico"),CONCATENATE("R3C",'Mapa final'!$Q$26),"")</f>
        <v/>
      </c>
      <c r="AN38" s="84"/>
      <c r="AO38" s="404"/>
      <c r="AP38" s="405"/>
      <c r="AQ38" s="405"/>
      <c r="AR38" s="405"/>
      <c r="AS38" s="405"/>
      <c r="AT38" s="406"/>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82"/>
      <c r="C39" s="282"/>
      <c r="D39" s="283"/>
      <c r="E39" s="383"/>
      <c r="F39" s="384"/>
      <c r="G39" s="384"/>
      <c r="H39" s="384"/>
      <c r="I39" s="382"/>
      <c r="J39" s="77" t="str">
        <f>IF(AND('Mapa final'!$AA$27="Baja",'Mapa final'!$AC$27="Leve"),CONCATENATE("R4C",'Mapa final'!$Q$27),"")</f>
        <v/>
      </c>
      <c r="K39" s="78" t="str">
        <f>IF(AND('Mapa final'!$AA$28="Baja",'Mapa final'!$AC$28="Leve"),CONCATENATE("R4C",'Mapa final'!$Q$28),"")</f>
        <v/>
      </c>
      <c r="L39" s="78" t="str">
        <f>IF(AND('Mapa final'!$AA$29="Baja",'Mapa final'!$AC$29="Leve"),CONCATENATE("R4C",'Mapa final'!$Q$29),"")</f>
        <v/>
      </c>
      <c r="M39" s="78" t="str">
        <f>IF(AND('Mapa final'!$AA$30="Baja",'Mapa final'!$AC$30="Leve"),CONCATENATE("R4C",'Mapa final'!$Q$30),"")</f>
        <v/>
      </c>
      <c r="N39" s="78" t="str">
        <f>IF(AND('Mapa final'!$AA$31="Baja",'Mapa final'!$AC$31="Leve"),CONCATENATE("R4C",'Mapa final'!$Q$31),"")</f>
        <v/>
      </c>
      <c r="O39" s="79" t="str">
        <f>IF(AND('Mapa final'!$AA$32="Baja",'Mapa final'!$AC$32="Leve"),CONCATENATE("R4C",'Mapa final'!$Q$32),"")</f>
        <v/>
      </c>
      <c r="P39" s="68" t="str">
        <f>IF(AND('Mapa final'!$AA$27="Baja",'Mapa final'!$AC$27="Menor"),CONCATENATE("R4C",'Mapa final'!$Q$27),"")</f>
        <v/>
      </c>
      <c r="Q39" s="69" t="str">
        <f>IF(AND('Mapa final'!$AA$28="Baja",'Mapa final'!$AC$28="Menor"),CONCATENATE("R4C",'Mapa final'!$Q$28),"")</f>
        <v/>
      </c>
      <c r="R39" s="69" t="str">
        <f>IF(AND('Mapa final'!$AA$29="Baja",'Mapa final'!$AC$29="Menor"),CONCATENATE("R4C",'Mapa final'!$Q$29),"")</f>
        <v/>
      </c>
      <c r="S39" s="69" t="str">
        <f>IF(AND('Mapa final'!$AA$30="Baja",'Mapa final'!$AC$30="Menor"),CONCATENATE("R4C",'Mapa final'!$Q$30),"")</f>
        <v/>
      </c>
      <c r="T39" s="69" t="str">
        <f>IF(AND('Mapa final'!$AA$31="Baja",'Mapa final'!$AC$31="Menor"),CONCATENATE("R4C",'Mapa final'!$Q$31),"")</f>
        <v/>
      </c>
      <c r="U39" s="70" t="str">
        <f>IF(AND('Mapa final'!$AA$32="Baja",'Mapa final'!$AC$32="Menor"),CONCATENATE("R4C",'Mapa final'!$Q$32),"")</f>
        <v/>
      </c>
      <c r="V39" s="68" t="str">
        <f>IF(AND('Mapa final'!$AA$27="Baja",'Mapa final'!$AC$27="Moderado"),CONCATENATE("R4C",'Mapa final'!$Q$27),"")</f>
        <v/>
      </c>
      <c r="W39" s="69" t="str">
        <f>IF(AND('Mapa final'!$AA$28="Baja",'Mapa final'!$AC$28="Moderado"),CONCATENATE("R4C",'Mapa final'!$Q$28),"")</f>
        <v/>
      </c>
      <c r="X39" s="69" t="str">
        <f>IF(AND('Mapa final'!$AA$29="Baja",'Mapa final'!$AC$29="Moderado"),CONCATENATE("R4C",'Mapa final'!$Q$29),"")</f>
        <v/>
      </c>
      <c r="Y39" s="69" t="str">
        <f>IF(AND('Mapa final'!$AA$30="Baja",'Mapa final'!$AC$30="Moderado"),CONCATENATE("R4C",'Mapa final'!$Q$30),"")</f>
        <v/>
      </c>
      <c r="Z39" s="69" t="str">
        <f>IF(AND('Mapa final'!$AA$31="Baja",'Mapa final'!$AC$31="Moderado"),CONCATENATE("R4C",'Mapa final'!$Q$31),"")</f>
        <v/>
      </c>
      <c r="AA39" s="70" t="str">
        <f>IF(AND('Mapa final'!$AA$32="Baja",'Mapa final'!$AC$32="Moderado"),CONCATENATE("R4C",'Mapa final'!$Q$32),"")</f>
        <v/>
      </c>
      <c r="AB39" s="52" t="str">
        <f>IF(AND('Mapa final'!$AA$27="Baja",'Mapa final'!$AC$27="Mayor"),CONCATENATE("R4C",'Mapa final'!$Q$27),"")</f>
        <v/>
      </c>
      <c r="AC39" s="53" t="str">
        <f>IF(AND('Mapa final'!$AA$28="Baja",'Mapa final'!$AC$28="Mayor"),CONCATENATE("R4C",'Mapa final'!$Q$28),"")</f>
        <v/>
      </c>
      <c r="AD39" s="53" t="str">
        <f>IF(AND('Mapa final'!$AA$29="Baja",'Mapa final'!$AC$29="Mayor"),CONCATENATE("R4C",'Mapa final'!$Q$29),"")</f>
        <v/>
      </c>
      <c r="AE39" s="53" t="str">
        <f>IF(AND('Mapa final'!$AA$30="Baja",'Mapa final'!$AC$30="Mayor"),CONCATENATE("R4C",'Mapa final'!$Q$30),"")</f>
        <v/>
      </c>
      <c r="AF39" s="53" t="str">
        <f>IF(AND('Mapa final'!$AA$31="Baja",'Mapa final'!$AC$31="Mayor"),CONCATENATE("R4C",'Mapa final'!$Q$31),"")</f>
        <v/>
      </c>
      <c r="AG39" s="54" t="str">
        <f>IF(AND('Mapa final'!$AA$32="Baja",'Mapa final'!$AC$32="Mayor"),CONCATENATE("R4C",'Mapa final'!$Q$32),"")</f>
        <v/>
      </c>
      <c r="AH39" s="55" t="str">
        <f>IF(AND('Mapa final'!$AA$27="Baja",'Mapa final'!$AC$27="Catastrófico"),CONCATENATE("R4C",'Mapa final'!$Q$27),"")</f>
        <v/>
      </c>
      <c r="AI39" s="56" t="str">
        <f>IF(AND('Mapa final'!$AA$28="Baja",'Mapa final'!$AC$28="Catastrófico"),CONCATENATE("R4C",'Mapa final'!$Q$28),"")</f>
        <v/>
      </c>
      <c r="AJ39" s="56" t="str">
        <f>IF(AND('Mapa final'!$AA$29="Baja",'Mapa final'!$AC$29="Catastrófico"),CONCATENATE("R4C",'Mapa final'!$Q$29),"")</f>
        <v/>
      </c>
      <c r="AK39" s="56" t="str">
        <f>IF(AND('Mapa final'!$AA$30="Baja",'Mapa final'!$AC$30="Catastrófico"),CONCATENATE("R4C",'Mapa final'!$Q$30),"")</f>
        <v/>
      </c>
      <c r="AL39" s="56" t="str">
        <f>IF(AND('Mapa final'!$AA$31="Baja",'Mapa final'!$AC$31="Catastrófico"),CONCATENATE("R4C",'Mapa final'!$Q$31),"")</f>
        <v/>
      </c>
      <c r="AM39" s="57" t="str">
        <f>IF(AND('Mapa final'!$AA$32="Baja",'Mapa final'!$AC$32="Catastrófico"),CONCATENATE("R4C",'Mapa final'!$Q$32),"")</f>
        <v/>
      </c>
      <c r="AN39" s="84"/>
      <c r="AO39" s="404"/>
      <c r="AP39" s="405"/>
      <c r="AQ39" s="405"/>
      <c r="AR39" s="405"/>
      <c r="AS39" s="405"/>
      <c r="AT39" s="406"/>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82"/>
      <c r="C40" s="282"/>
      <c r="D40" s="283"/>
      <c r="E40" s="383"/>
      <c r="F40" s="384"/>
      <c r="G40" s="384"/>
      <c r="H40" s="384"/>
      <c r="I40" s="382"/>
      <c r="J40" s="77" t="str">
        <f>IF(AND('Mapa final'!$AA$33="Baja",'Mapa final'!$AC$33="Leve"),CONCATENATE("R5C",'Mapa final'!$Q$33),"")</f>
        <v/>
      </c>
      <c r="K40" s="78" t="str">
        <f>IF(AND('Mapa final'!$AA$34="Baja",'Mapa final'!$AC$34="Leve"),CONCATENATE("R5C",'Mapa final'!$Q$34),"")</f>
        <v/>
      </c>
      <c r="L40" s="78" t="str">
        <f>IF(AND('Mapa final'!$AA$35="Baja",'Mapa final'!$AC$35="Leve"),CONCATENATE("R5C",'Mapa final'!$Q$35),"")</f>
        <v/>
      </c>
      <c r="M40" s="78" t="str">
        <f>IF(AND('Mapa final'!$AA$36="Baja",'Mapa final'!$AC$36="Leve"),CONCATENATE("R5C",'Mapa final'!$Q$36),"")</f>
        <v/>
      </c>
      <c r="N40" s="78" t="str">
        <f>IF(AND('Mapa final'!$AA$37="Baja",'Mapa final'!$AC$37="Leve"),CONCATENATE("R5C",'Mapa final'!$Q$37),"")</f>
        <v/>
      </c>
      <c r="O40" s="79" t="str">
        <f>IF(AND('Mapa final'!$AA$38="Baja",'Mapa final'!$AC$38="Leve"),CONCATENATE("R5C",'Mapa final'!$Q$38),"")</f>
        <v/>
      </c>
      <c r="P40" s="68" t="str">
        <f>IF(AND('Mapa final'!$AA$33="Baja",'Mapa final'!$AC$33="Menor"),CONCATENATE("R5C",'Mapa final'!$Q$33),"")</f>
        <v/>
      </c>
      <c r="Q40" s="69" t="str">
        <f>IF(AND('Mapa final'!$AA$34="Baja",'Mapa final'!$AC$34="Menor"),CONCATENATE("R5C",'Mapa final'!$Q$34),"")</f>
        <v/>
      </c>
      <c r="R40" s="69" t="str">
        <f>IF(AND('Mapa final'!$AA$35="Baja",'Mapa final'!$AC$35="Menor"),CONCATENATE("R5C",'Mapa final'!$Q$35),"")</f>
        <v/>
      </c>
      <c r="S40" s="69" t="str">
        <f>IF(AND('Mapa final'!$AA$36="Baja",'Mapa final'!$AC$36="Menor"),CONCATENATE("R5C",'Mapa final'!$Q$36),"")</f>
        <v/>
      </c>
      <c r="T40" s="69" t="str">
        <f>IF(AND('Mapa final'!$AA$37="Baja",'Mapa final'!$AC$37="Menor"),CONCATENATE("R5C",'Mapa final'!$Q$37),"")</f>
        <v/>
      </c>
      <c r="U40" s="70" t="str">
        <f>IF(AND('Mapa final'!$AA$38="Baja",'Mapa final'!$AC$38="Menor"),CONCATENATE("R5C",'Mapa final'!$Q$38),"")</f>
        <v/>
      </c>
      <c r="V40" s="68" t="str">
        <f>IF(AND('Mapa final'!$AA$33="Baja",'Mapa final'!$AC$33="Moderado"),CONCATENATE("R5C",'Mapa final'!$Q$33),"")</f>
        <v/>
      </c>
      <c r="W40" s="69" t="str">
        <f>IF(AND('Mapa final'!$AA$34="Baja",'Mapa final'!$AC$34="Moderado"),CONCATENATE("R5C",'Mapa final'!$Q$34),"")</f>
        <v/>
      </c>
      <c r="X40" s="69" t="str">
        <f>IF(AND('Mapa final'!$AA$35="Baja",'Mapa final'!$AC$35="Moderado"),CONCATENATE("R5C",'Mapa final'!$Q$35),"")</f>
        <v/>
      </c>
      <c r="Y40" s="69" t="str">
        <f>IF(AND('Mapa final'!$AA$36="Baja",'Mapa final'!$AC$36="Moderado"),CONCATENATE("R5C",'Mapa final'!$Q$36),"")</f>
        <v/>
      </c>
      <c r="Z40" s="69" t="str">
        <f>IF(AND('Mapa final'!$AA$37="Baja",'Mapa final'!$AC$37="Moderado"),CONCATENATE("R5C",'Mapa final'!$Q$37),"")</f>
        <v/>
      </c>
      <c r="AA40" s="70" t="str">
        <f>IF(AND('Mapa final'!$AA$38="Baja",'Mapa final'!$AC$38="Moderado"),CONCATENATE("R5C",'Mapa final'!$Q$38),"")</f>
        <v/>
      </c>
      <c r="AB40" s="52" t="str">
        <f>IF(AND('Mapa final'!$AA$33="Baja",'Mapa final'!$AC$33="Mayor"),CONCATENATE("R5C",'Mapa final'!$Q$33),"")</f>
        <v/>
      </c>
      <c r="AC40" s="53" t="str">
        <f>IF(AND('Mapa final'!$AA$34="Baja",'Mapa final'!$AC$34="Mayor"),CONCATENATE("R5C",'Mapa final'!$Q$34),"")</f>
        <v/>
      </c>
      <c r="AD40" s="58" t="str">
        <f>IF(AND('Mapa final'!$AA$35="Baja",'Mapa final'!$AC$35="Mayor"),CONCATENATE("R5C",'Mapa final'!$Q$35),"")</f>
        <v/>
      </c>
      <c r="AE40" s="58" t="str">
        <f>IF(AND('Mapa final'!$AA$36="Baja",'Mapa final'!$AC$36="Mayor"),CONCATENATE("R5C",'Mapa final'!$Q$36),"")</f>
        <v/>
      </c>
      <c r="AF40" s="58" t="str">
        <f>IF(AND('Mapa final'!$AA$37="Baja",'Mapa final'!$AC$37="Mayor"),CONCATENATE("R5C",'Mapa final'!$Q$37),"")</f>
        <v/>
      </c>
      <c r="AG40" s="54" t="str">
        <f>IF(AND('Mapa final'!$AA$38="Baja",'Mapa final'!$AC$38="Mayor"),CONCATENATE("R5C",'Mapa final'!$Q$38),"")</f>
        <v/>
      </c>
      <c r="AH40" s="55" t="str">
        <f>IF(AND('Mapa final'!$AA$33="Baja",'Mapa final'!$AC$33="Catastrófico"),CONCATENATE("R5C",'Mapa final'!$Q$33),"")</f>
        <v/>
      </c>
      <c r="AI40" s="56" t="str">
        <f>IF(AND('Mapa final'!$AA$34="Baja",'Mapa final'!$AC$34="Catastrófico"),CONCATENATE("R5C",'Mapa final'!$Q$34),"")</f>
        <v/>
      </c>
      <c r="AJ40" s="56" t="str">
        <f>IF(AND('Mapa final'!$AA$35="Baja",'Mapa final'!$AC$35="Catastrófico"),CONCATENATE("R5C",'Mapa final'!$Q$35),"")</f>
        <v/>
      </c>
      <c r="AK40" s="56" t="str">
        <f>IF(AND('Mapa final'!$AA$36="Baja",'Mapa final'!$AC$36="Catastrófico"),CONCATENATE("R5C",'Mapa final'!$Q$36),"")</f>
        <v/>
      </c>
      <c r="AL40" s="56" t="str">
        <f>IF(AND('Mapa final'!$AA$37="Baja",'Mapa final'!$AC$37="Catastrófico"),CONCATENATE("R5C",'Mapa final'!$Q$37),"")</f>
        <v/>
      </c>
      <c r="AM40" s="57" t="str">
        <f>IF(AND('Mapa final'!$AA$38="Baja",'Mapa final'!$AC$38="Catastrófico"),CONCATENATE("R5C",'Mapa final'!$Q$38),"")</f>
        <v/>
      </c>
      <c r="AN40" s="84"/>
      <c r="AO40" s="404"/>
      <c r="AP40" s="405"/>
      <c r="AQ40" s="405"/>
      <c r="AR40" s="405"/>
      <c r="AS40" s="405"/>
      <c r="AT40" s="406"/>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82"/>
      <c r="C41" s="282"/>
      <c r="D41" s="283"/>
      <c r="E41" s="383"/>
      <c r="F41" s="384"/>
      <c r="G41" s="384"/>
      <c r="H41" s="384"/>
      <c r="I41" s="382"/>
      <c r="J41" s="77" t="str">
        <f>IF(AND('Mapa final'!$AA$39="Baja",'Mapa final'!$AC$39="Leve"),CONCATENATE("R6C",'Mapa final'!$Q$39),"")</f>
        <v/>
      </c>
      <c r="K41" s="78" t="str">
        <f>IF(AND('Mapa final'!$AA$40="Baja",'Mapa final'!$AC$40="Leve"),CONCATENATE("R6C",'Mapa final'!$Q$40),"")</f>
        <v/>
      </c>
      <c r="L41" s="78" t="str">
        <f>IF(AND('Mapa final'!$AA$41="Baja",'Mapa final'!$AC$41="Leve"),CONCATENATE("R6C",'Mapa final'!$Q$41),"")</f>
        <v/>
      </c>
      <c r="M41" s="78" t="str">
        <f>IF(AND('Mapa final'!$AA$42="Baja",'Mapa final'!$AC$42="Leve"),CONCATENATE("R6C",'Mapa final'!$Q$42),"")</f>
        <v/>
      </c>
      <c r="N41" s="78" t="str">
        <f>IF(AND('Mapa final'!$AA$43="Baja",'Mapa final'!$AC$43="Leve"),CONCATENATE("R6C",'Mapa final'!$Q$43),"")</f>
        <v/>
      </c>
      <c r="O41" s="79" t="str">
        <f>IF(AND('Mapa final'!$AA$44="Baja",'Mapa final'!$AC$44="Leve"),CONCATENATE("R6C",'Mapa final'!$Q$44),"")</f>
        <v/>
      </c>
      <c r="P41" s="68" t="str">
        <f>IF(AND('Mapa final'!$AA$39="Baja",'Mapa final'!$AC$39="Menor"),CONCATENATE("R6C",'Mapa final'!$Q$39),"")</f>
        <v/>
      </c>
      <c r="Q41" s="69" t="str">
        <f>IF(AND('Mapa final'!$AA$40="Baja",'Mapa final'!$AC$40="Menor"),CONCATENATE("R6C",'Mapa final'!$Q$40),"")</f>
        <v/>
      </c>
      <c r="R41" s="69" t="str">
        <f>IF(AND('Mapa final'!$AA$41="Baja",'Mapa final'!$AC$41="Menor"),CONCATENATE("R6C",'Mapa final'!$Q$41),"")</f>
        <v/>
      </c>
      <c r="S41" s="69" t="str">
        <f>IF(AND('Mapa final'!$AA$42="Baja",'Mapa final'!$AC$42="Menor"),CONCATENATE("R6C",'Mapa final'!$Q$42),"")</f>
        <v/>
      </c>
      <c r="T41" s="69" t="str">
        <f>IF(AND('Mapa final'!$AA$43="Baja",'Mapa final'!$AC$43="Menor"),CONCATENATE("R6C",'Mapa final'!$Q$43),"")</f>
        <v/>
      </c>
      <c r="U41" s="70" t="str">
        <f>IF(AND('Mapa final'!$AA$44="Baja",'Mapa final'!$AC$44="Menor"),CONCATENATE("R6C",'Mapa final'!$Q$44),"")</f>
        <v/>
      </c>
      <c r="V41" s="68" t="str">
        <f>IF(AND('Mapa final'!$AA$39="Baja",'Mapa final'!$AC$39="Moderado"),CONCATENATE("R6C",'Mapa final'!$Q$39),"")</f>
        <v/>
      </c>
      <c r="W41" s="69" t="str">
        <f>IF(AND('Mapa final'!$AA$40="Baja",'Mapa final'!$AC$40="Moderado"),CONCATENATE("R6C",'Mapa final'!$Q$40),"")</f>
        <v/>
      </c>
      <c r="X41" s="69" t="str">
        <f>IF(AND('Mapa final'!$AA$41="Baja",'Mapa final'!$AC$41="Moderado"),CONCATENATE("R6C",'Mapa final'!$Q$41),"")</f>
        <v/>
      </c>
      <c r="Y41" s="69" t="str">
        <f>IF(AND('Mapa final'!$AA$42="Baja",'Mapa final'!$AC$42="Moderado"),CONCATENATE("R6C",'Mapa final'!$Q$42),"")</f>
        <v/>
      </c>
      <c r="Z41" s="69" t="str">
        <f>IF(AND('Mapa final'!$AA$43="Baja",'Mapa final'!$AC$43="Moderado"),CONCATENATE("R6C",'Mapa final'!$Q$43),"")</f>
        <v/>
      </c>
      <c r="AA41" s="70" t="str">
        <f>IF(AND('Mapa final'!$AA$44="Baja",'Mapa final'!$AC$44="Moderado"),CONCATENATE("R6C",'Mapa final'!$Q$44),"")</f>
        <v/>
      </c>
      <c r="AB41" s="52" t="str">
        <f>IF(AND('Mapa final'!$AA$39="Baja",'Mapa final'!$AC$39="Mayor"),CONCATENATE("R6C",'Mapa final'!$Q$39),"")</f>
        <v/>
      </c>
      <c r="AC41" s="53" t="str">
        <f>IF(AND('Mapa final'!$AA$40="Baja",'Mapa final'!$AC$40="Mayor"),CONCATENATE("R6C",'Mapa final'!$Q$40),"")</f>
        <v/>
      </c>
      <c r="AD41" s="58" t="str">
        <f>IF(AND('Mapa final'!$AA$41="Baja",'Mapa final'!$AC$41="Mayor"),CONCATENATE("R6C",'Mapa final'!$Q$41),"")</f>
        <v/>
      </c>
      <c r="AE41" s="58" t="str">
        <f>IF(AND('Mapa final'!$AA$42="Baja",'Mapa final'!$AC$42="Mayor"),CONCATENATE("R6C",'Mapa final'!$Q$42),"")</f>
        <v/>
      </c>
      <c r="AF41" s="58" t="str">
        <f>IF(AND('Mapa final'!$AA$43="Baja",'Mapa final'!$AC$43="Mayor"),CONCATENATE("R6C",'Mapa final'!$Q$43),"")</f>
        <v/>
      </c>
      <c r="AG41" s="54" t="str">
        <f>IF(AND('Mapa final'!$AA$44="Baja",'Mapa final'!$AC$44="Mayor"),CONCATENATE("R6C",'Mapa final'!$Q$44),"")</f>
        <v/>
      </c>
      <c r="AH41" s="55" t="str">
        <f>IF(AND('Mapa final'!$AA$39="Baja",'Mapa final'!$AC$39="Catastrófico"),CONCATENATE("R6C",'Mapa final'!$Q$39),"")</f>
        <v/>
      </c>
      <c r="AI41" s="56" t="str">
        <f>IF(AND('Mapa final'!$AA$40="Baja",'Mapa final'!$AC$40="Catastrófico"),CONCATENATE("R6C",'Mapa final'!$Q$40),"")</f>
        <v/>
      </c>
      <c r="AJ41" s="56" t="str">
        <f>IF(AND('Mapa final'!$AA$41="Baja",'Mapa final'!$AC$41="Catastrófico"),CONCATENATE("R6C",'Mapa final'!$Q$41),"")</f>
        <v/>
      </c>
      <c r="AK41" s="56" t="str">
        <f>IF(AND('Mapa final'!$AA$42="Baja",'Mapa final'!$AC$42="Catastrófico"),CONCATENATE("R6C",'Mapa final'!$Q$42),"")</f>
        <v/>
      </c>
      <c r="AL41" s="56" t="str">
        <f>IF(AND('Mapa final'!$AA$43="Baja",'Mapa final'!$AC$43="Catastrófico"),CONCATENATE("R6C",'Mapa final'!$Q$43),"")</f>
        <v/>
      </c>
      <c r="AM41" s="57" t="str">
        <f>IF(AND('Mapa final'!$AA$44="Baja",'Mapa final'!$AC$44="Catastrófico"),CONCATENATE("R6C",'Mapa final'!$Q$44),"")</f>
        <v/>
      </c>
      <c r="AN41" s="84"/>
      <c r="AO41" s="404"/>
      <c r="AP41" s="405"/>
      <c r="AQ41" s="405"/>
      <c r="AR41" s="405"/>
      <c r="AS41" s="405"/>
      <c r="AT41" s="406"/>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82"/>
      <c r="C42" s="282"/>
      <c r="D42" s="283"/>
      <c r="E42" s="383"/>
      <c r="F42" s="384"/>
      <c r="G42" s="384"/>
      <c r="H42" s="384"/>
      <c r="I42" s="382"/>
      <c r="J42" s="77" t="str">
        <f>IF(AND('Mapa final'!$AA$45="Baja",'Mapa final'!$AC$45="Leve"),CONCATENATE("R7C",'Mapa final'!$Q$45),"")</f>
        <v/>
      </c>
      <c r="K42" s="78" t="str">
        <f>IF(AND('Mapa final'!$AA$46="Baja",'Mapa final'!$AC$46="Leve"),CONCATENATE("R7C",'Mapa final'!$Q$46),"")</f>
        <v/>
      </c>
      <c r="L42" s="78" t="str">
        <f>IF(AND('Mapa final'!$AA$47="Baja",'Mapa final'!$AC$47="Leve"),CONCATENATE("R7C",'Mapa final'!$Q$47),"")</f>
        <v/>
      </c>
      <c r="M42" s="78" t="str">
        <f>IF(AND('Mapa final'!$AA$48="Baja",'Mapa final'!$AC$48="Leve"),CONCATENATE("R7C",'Mapa final'!$Q$48),"")</f>
        <v/>
      </c>
      <c r="N42" s="78" t="str">
        <f>IF(AND('Mapa final'!$AA$49="Baja",'Mapa final'!$AC$49="Leve"),CONCATENATE("R7C",'Mapa final'!$Q$49),"")</f>
        <v/>
      </c>
      <c r="O42" s="79" t="str">
        <f>IF(AND('Mapa final'!$AA$50="Baja",'Mapa final'!$AC$50="Leve"),CONCATENATE("R7C",'Mapa final'!$Q$50),"")</f>
        <v/>
      </c>
      <c r="P42" s="68" t="str">
        <f>IF(AND('Mapa final'!$AA$45="Baja",'Mapa final'!$AC$45="Menor"),CONCATENATE("R7C",'Mapa final'!$Q$45),"")</f>
        <v/>
      </c>
      <c r="Q42" s="69" t="str">
        <f>IF(AND('Mapa final'!$AA$46="Baja",'Mapa final'!$AC$46="Menor"),CONCATENATE("R7C",'Mapa final'!$Q$46),"")</f>
        <v/>
      </c>
      <c r="R42" s="69" t="str">
        <f>IF(AND('Mapa final'!$AA$47="Baja",'Mapa final'!$AC$47="Menor"),CONCATENATE("R7C",'Mapa final'!$Q$47),"")</f>
        <v/>
      </c>
      <c r="S42" s="69" t="str">
        <f>IF(AND('Mapa final'!$AA$48="Baja",'Mapa final'!$AC$48="Menor"),CONCATENATE("R7C",'Mapa final'!$Q$48),"")</f>
        <v/>
      </c>
      <c r="T42" s="69" t="str">
        <f>IF(AND('Mapa final'!$AA$49="Baja",'Mapa final'!$AC$49="Menor"),CONCATENATE("R7C",'Mapa final'!$Q$49),"")</f>
        <v/>
      </c>
      <c r="U42" s="70" t="str">
        <f>IF(AND('Mapa final'!$AA$50="Baja",'Mapa final'!$AC$50="Menor"),CONCATENATE("R7C",'Mapa final'!$Q$50),"")</f>
        <v/>
      </c>
      <c r="V42" s="68" t="str">
        <f>IF(AND('Mapa final'!$AA$45="Baja",'Mapa final'!$AC$45="Moderado"),CONCATENATE("R7C",'Mapa final'!$Q$45),"")</f>
        <v/>
      </c>
      <c r="W42" s="69" t="str">
        <f>IF(AND('Mapa final'!$AA$46="Baja",'Mapa final'!$AC$46="Moderado"),CONCATENATE("R7C",'Mapa final'!$Q$46),"")</f>
        <v/>
      </c>
      <c r="X42" s="69" t="str">
        <f>IF(AND('Mapa final'!$AA$47="Baja",'Mapa final'!$AC$47="Moderado"),CONCATENATE("R7C",'Mapa final'!$Q$47),"")</f>
        <v/>
      </c>
      <c r="Y42" s="69" t="str">
        <f>IF(AND('Mapa final'!$AA$48="Baja",'Mapa final'!$AC$48="Moderado"),CONCATENATE("R7C",'Mapa final'!$Q$48),"")</f>
        <v/>
      </c>
      <c r="Z42" s="69" t="str">
        <f>IF(AND('Mapa final'!$AA$49="Baja",'Mapa final'!$AC$49="Moderado"),CONCATENATE("R7C",'Mapa final'!$Q$49),"")</f>
        <v/>
      </c>
      <c r="AA42" s="70" t="str">
        <f>IF(AND('Mapa final'!$AA$50="Baja",'Mapa final'!$AC$50="Moderado"),CONCATENATE("R7C",'Mapa final'!$Q$50),"")</f>
        <v/>
      </c>
      <c r="AB42" s="52" t="str">
        <f>IF(AND('Mapa final'!$AA$45="Baja",'Mapa final'!$AC$45="Mayor"),CONCATENATE("R7C",'Mapa final'!$Q$45),"")</f>
        <v/>
      </c>
      <c r="AC42" s="53" t="str">
        <f>IF(AND('Mapa final'!$AA$46="Baja",'Mapa final'!$AC$46="Mayor"),CONCATENATE("R7C",'Mapa final'!$Q$46),"")</f>
        <v/>
      </c>
      <c r="AD42" s="58" t="str">
        <f>IF(AND('Mapa final'!$AA$47="Baja",'Mapa final'!$AC$47="Mayor"),CONCATENATE("R7C",'Mapa final'!$Q$47),"")</f>
        <v/>
      </c>
      <c r="AE42" s="58" t="str">
        <f>IF(AND('Mapa final'!$AA$48="Baja",'Mapa final'!$AC$48="Mayor"),CONCATENATE("R7C",'Mapa final'!$Q$48),"")</f>
        <v/>
      </c>
      <c r="AF42" s="58" t="str">
        <f>IF(AND('Mapa final'!$AA$49="Baja",'Mapa final'!$AC$49="Mayor"),CONCATENATE("R7C",'Mapa final'!$Q$49),"")</f>
        <v/>
      </c>
      <c r="AG42" s="54" t="str">
        <f>IF(AND('Mapa final'!$AA$50="Baja",'Mapa final'!$AC$50="Mayor"),CONCATENATE("R7C",'Mapa final'!$Q$50),"")</f>
        <v/>
      </c>
      <c r="AH42" s="55" t="str">
        <f>IF(AND('Mapa final'!$AA$45="Baja",'Mapa final'!$AC$45="Catastrófico"),CONCATENATE("R7C",'Mapa final'!$Q$45),"")</f>
        <v/>
      </c>
      <c r="AI42" s="56" t="str">
        <f>IF(AND('Mapa final'!$AA$46="Baja",'Mapa final'!$AC$46="Catastrófico"),CONCATENATE("R7C",'Mapa final'!$Q$46),"")</f>
        <v/>
      </c>
      <c r="AJ42" s="56" t="str">
        <f>IF(AND('Mapa final'!$AA$47="Baja",'Mapa final'!$AC$47="Catastrófico"),CONCATENATE("R7C",'Mapa final'!$Q$47),"")</f>
        <v/>
      </c>
      <c r="AK42" s="56" t="str">
        <f>IF(AND('Mapa final'!$AA$48="Baja",'Mapa final'!$AC$48="Catastrófico"),CONCATENATE("R7C",'Mapa final'!$Q$48),"")</f>
        <v/>
      </c>
      <c r="AL42" s="56" t="str">
        <f>IF(AND('Mapa final'!$AA$49="Baja",'Mapa final'!$AC$49="Catastrófico"),CONCATENATE("R7C",'Mapa final'!$Q$49),"")</f>
        <v/>
      </c>
      <c r="AM42" s="57" t="str">
        <f>IF(AND('Mapa final'!$AA$50="Baja",'Mapa final'!$AC$50="Catastrófico"),CONCATENATE("R7C",'Mapa final'!$Q$50),"")</f>
        <v/>
      </c>
      <c r="AN42" s="84"/>
      <c r="AO42" s="404"/>
      <c r="AP42" s="405"/>
      <c r="AQ42" s="405"/>
      <c r="AR42" s="405"/>
      <c r="AS42" s="405"/>
      <c r="AT42" s="406"/>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82"/>
      <c r="C43" s="282"/>
      <c r="D43" s="283"/>
      <c r="E43" s="383"/>
      <c r="F43" s="384"/>
      <c r="G43" s="384"/>
      <c r="H43" s="384"/>
      <c r="I43" s="382"/>
      <c r="J43" s="77" t="str">
        <f>IF(AND('Mapa final'!$AA$51="Baja",'Mapa final'!$AC$51="Leve"),CONCATENATE("R8C",'Mapa final'!$Q$51),"")</f>
        <v/>
      </c>
      <c r="K43" s="78" t="str">
        <f>IF(AND('Mapa final'!$AA$52="Baja",'Mapa final'!$AC$52="Leve"),CONCATENATE("R8C",'Mapa final'!$Q$52),"")</f>
        <v/>
      </c>
      <c r="L43" s="78" t="str">
        <f>IF(AND('Mapa final'!$AA$53="Baja",'Mapa final'!$AC$53="Leve"),CONCATENATE("R8C",'Mapa final'!$Q$53),"")</f>
        <v/>
      </c>
      <c r="M43" s="78" t="str">
        <f>IF(AND('Mapa final'!$AA$54="Baja",'Mapa final'!$AC$54="Leve"),CONCATENATE("R8C",'Mapa final'!$Q$54),"")</f>
        <v/>
      </c>
      <c r="N43" s="78" t="str">
        <f>IF(AND('Mapa final'!$AA$55="Baja",'Mapa final'!$AC$55="Leve"),CONCATENATE("R8C",'Mapa final'!$Q$55),"")</f>
        <v/>
      </c>
      <c r="O43" s="79" t="str">
        <f>IF(AND('Mapa final'!$AA$56="Baja",'Mapa final'!$AC$56="Leve"),CONCATENATE("R8C",'Mapa final'!$Q$56),"")</f>
        <v/>
      </c>
      <c r="P43" s="68" t="str">
        <f>IF(AND('Mapa final'!$AA$51="Baja",'Mapa final'!$AC$51="Menor"),CONCATENATE("R8C",'Mapa final'!$Q$51),"")</f>
        <v/>
      </c>
      <c r="Q43" s="69" t="str">
        <f>IF(AND('Mapa final'!$AA$52="Baja",'Mapa final'!$AC$52="Menor"),CONCATENATE("R8C",'Mapa final'!$Q$52),"")</f>
        <v/>
      </c>
      <c r="R43" s="69" t="str">
        <f>IF(AND('Mapa final'!$AA$53="Baja",'Mapa final'!$AC$53="Menor"),CONCATENATE("R8C",'Mapa final'!$Q$53),"")</f>
        <v/>
      </c>
      <c r="S43" s="69" t="str">
        <f>IF(AND('Mapa final'!$AA$54="Baja",'Mapa final'!$AC$54="Menor"),CONCATENATE("R8C",'Mapa final'!$Q$54),"")</f>
        <v/>
      </c>
      <c r="T43" s="69" t="str">
        <f>IF(AND('Mapa final'!$AA$55="Baja",'Mapa final'!$AC$55="Menor"),CONCATENATE("R8C",'Mapa final'!$Q$55),"")</f>
        <v/>
      </c>
      <c r="U43" s="70" t="str">
        <f>IF(AND('Mapa final'!$AA$56="Baja",'Mapa final'!$AC$56="Menor"),CONCATENATE("R8C",'Mapa final'!$Q$56),"")</f>
        <v/>
      </c>
      <c r="V43" s="68" t="str">
        <f>IF(AND('Mapa final'!$AA$51="Baja",'Mapa final'!$AC$51="Moderado"),CONCATENATE("R8C",'Mapa final'!$Q$51),"")</f>
        <v/>
      </c>
      <c r="W43" s="69" t="str">
        <f>IF(AND('Mapa final'!$AA$52="Baja",'Mapa final'!$AC$52="Moderado"),CONCATENATE("R8C",'Mapa final'!$Q$52),"")</f>
        <v/>
      </c>
      <c r="X43" s="69" t="str">
        <f>IF(AND('Mapa final'!$AA$53="Baja",'Mapa final'!$AC$53="Moderado"),CONCATENATE("R8C",'Mapa final'!$Q$53),"")</f>
        <v/>
      </c>
      <c r="Y43" s="69" t="str">
        <f>IF(AND('Mapa final'!$AA$54="Baja",'Mapa final'!$AC$54="Moderado"),CONCATENATE("R8C",'Mapa final'!$Q$54),"")</f>
        <v/>
      </c>
      <c r="Z43" s="69" t="str">
        <f>IF(AND('Mapa final'!$AA$55="Baja",'Mapa final'!$AC$55="Moderado"),CONCATENATE("R8C",'Mapa final'!$Q$55),"")</f>
        <v/>
      </c>
      <c r="AA43" s="70" t="str">
        <f>IF(AND('Mapa final'!$AA$56="Baja",'Mapa final'!$AC$56="Moderado"),CONCATENATE("R8C",'Mapa final'!$Q$56),"")</f>
        <v/>
      </c>
      <c r="AB43" s="52" t="str">
        <f>IF(AND('Mapa final'!$AA$51="Baja",'Mapa final'!$AC$51="Mayor"),CONCATENATE("R8C",'Mapa final'!$Q$51),"")</f>
        <v/>
      </c>
      <c r="AC43" s="53" t="str">
        <f>IF(AND('Mapa final'!$AA$52="Baja",'Mapa final'!$AC$52="Mayor"),CONCATENATE("R8C",'Mapa final'!$Q$52),"")</f>
        <v/>
      </c>
      <c r="AD43" s="58" t="str">
        <f>IF(AND('Mapa final'!$AA$53="Baja",'Mapa final'!$AC$53="Mayor"),CONCATENATE("R8C",'Mapa final'!$Q$53),"")</f>
        <v/>
      </c>
      <c r="AE43" s="58" t="str">
        <f>IF(AND('Mapa final'!$AA$54="Baja",'Mapa final'!$AC$54="Mayor"),CONCATENATE("R8C",'Mapa final'!$Q$54),"")</f>
        <v/>
      </c>
      <c r="AF43" s="58" t="str">
        <f>IF(AND('Mapa final'!$AA$55="Baja",'Mapa final'!$AC$55="Mayor"),CONCATENATE("R8C",'Mapa final'!$Q$55),"")</f>
        <v/>
      </c>
      <c r="AG43" s="54" t="str">
        <f>IF(AND('Mapa final'!$AA$56="Baja",'Mapa final'!$AC$56="Mayor"),CONCATENATE("R8C",'Mapa final'!$Q$56),"")</f>
        <v/>
      </c>
      <c r="AH43" s="55" t="str">
        <f>IF(AND('Mapa final'!$AA$51="Baja",'Mapa final'!$AC$51="Catastrófico"),CONCATENATE("R8C",'Mapa final'!$Q$51),"")</f>
        <v/>
      </c>
      <c r="AI43" s="56" t="str">
        <f>IF(AND('Mapa final'!$AA$52="Baja",'Mapa final'!$AC$52="Catastrófico"),CONCATENATE("R8C",'Mapa final'!$Q$52),"")</f>
        <v/>
      </c>
      <c r="AJ43" s="56" t="str">
        <f>IF(AND('Mapa final'!$AA$53="Baja",'Mapa final'!$AC$53="Catastrófico"),CONCATENATE("R8C",'Mapa final'!$Q$53),"")</f>
        <v/>
      </c>
      <c r="AK43" s="56" t="str">
        <f>IF(AND('Mapa final'!$AA$54="Baja",'Mapa final'!$AC$54="Catastrófico"),CONCATENATE("R8C",'Mapa final'!$Q$54),"")</f>
        <v/>
      </c>
      <c r="AL43" s="56" t="str">
        <f>IF(AND('Mapa final'!$AA$55="Baja",'Mapa final'!$AC$55="Catastrófico"),CONCATENATE("R8C",'Mapa final'!$Q$55),"")</f>
        <v/>
      </c>
      <c r="AM43" s="57" t="str">
        <f>IF(AND('Mapa final'!$AA$56="Baja",'Mapa final'!$AC$56="Catastrófico"),CONCATENATE("R8C",'Mapa final'!$Q$56),"")</f>
        <v/>
      </c>
      <c r="AN43" s="84"/>
      <c r="AO43" s="404"/>
      <c r="AP43" s="405"/>
      <c r="AQ43" s="405"/>
      <c r="AR43" s="405"/>
      <c r="AS43" s="405"/>
      <c r="AT43" s="406"/>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82"/>
      <c r="C44" s="282"/>
      <c r="D44" s="283"/>
      <c r="E44" s="383"/>
      <c r="F44" s="384"/>
      <c r="G44" s="384"/>
      <c r="H44" s="384"/>
      <c r="I44" s="382"/>
      <c r="J44" s="77" t="str">
        <f>IF(AND('Mapa final'!$AA$57="Baja",'Mapa final'!$AC$57="Leve"),CONCATENATE("R9C",'Mapa final'!$Q$57),"")</f>
        <v/>
      </c>
      <c r="K44" s="78" t="str">
        <f>IF(AND('Mapa final'!$AA$58="Baja",'Mapa final'!$AC$58="Leve"),CONCATENATE("R9C",'Mapa final'!$Q$58),"")</f>
        <v/>
      </c>
      <c r="L44" s="78" t="str">
        <f>IF(AND('Mapa final'!$AA$59="Baja",'Mapa final'!$AC$59="Leve"),CONCATENATE("R9C",'Mapa final'!$Q$59),"")</f>
        <v/>
      </c>
      <c r="M44" s="78" t="str">
        <f>IF(AND('Mapa final'!$AA$60="Baja",'Mapa final'!$AC$60="Leve"),CONCATENATE("R9C",'Mapa final'!$Q$60),"")</f>
        <v/>
      </c>
      <c r="N44" s="78" t="str">
        <f>IF(AND('Mapa final'!$AA$61="Baja",'Mapa final'!$AC$61="Leve"),CONCATENATE("R9C",'Mapa final'!$Q$61),"")</f>
        <v/>
      </c>
      <c r="O44" s="79" t="str">
        <f>IF(AND('Mapa final'!$AA$62="Baja",'Mapa final'!$AC$62="Leve"),CONCATENATE("R9C",'Mapa final'!$Q$62),"")</f>
        <v/>
      </c>
      <c r="P44" s="68" t="str">
        <f>IF(AND('Mapa final'!$AA$57="Baja",'Mapa final'!$AC$57="Menor"),CONCATENATE("R9C",'Mapa final'!$Q$57),"")</f>
        <v/>
      </c>
      <c r="Q44" s="69" t="str">
        <f>IF(AND('Mapa final'!$AA$58="Baja",'Mapa final'!$AC$58="Menor"),CONCATENATE("R9C",'Mapa final'!$Q$58),"")</f>
        <v/>
      </c>
      <c r="R44" s="69" t="str">
        <f>IF(AND('Mapa final'!$AA$59="Baja",'Mapa final'!$AC$59="Menor"),CONCATENATE("R9C",'Mapa final'!$Q$59),"")</f>
        <v/>
      </c>
      <c r="S44" s="69" t="str">
        <f>IF(AND('Mapa final'!$AA$60="Baja",'Mapa final'!$AC$60="Menor"),CONCATENATE("R9C",'Mapa final'!$Q$60),"")</f>
        <v/>
      </c>
      <c r="T44" s="69" t="str">
        <f>IF(AND('Mapa final'!$AA$61="Baja",'Mapa final'!$AC$61="Menor"),CONCATENATE("R9C",'Mapa final'!$Q$61),"")</f>
        <v/>
      </c>
      <c r="U44" s="70" t="str">
        <f>IF(AND('Mapa final'!$AA$62="Baja",'Mapa final'!$AC$62="Menor"),CONCATENATE("R9C",'Mapa final'!$Q$62),"")</f>
        <v/>
      </c>
      <c r="V44" s="68" t="str">
        <f>IF(AND('Mapa final'!$AA$57="Baja",'Mapa final'!$AC$57="Moderado"),CONCATENATE("R9C",'Mapa final'!$Q$57),"")</f>
        <v/>
      </c>
      <c r="W44" s="69" t="str">
        <f>IF(AND('Mapa final'!$AA$58="Baja",'Mapa final'!$AC$58="Moderado"),CONCATENATE("R9C",'Mapa final'!$Q$58),"")</f>
        <v/>
      </c>
      <c r="X44" s="69" t="str">
        <f>IF(AND('Mapa final'!$AA$59="Baja",'Mapa final'!$AC$59="Moderado"),CONCATENATE("R9C",'Mapa final'!$Q$59),"")</f>
        <v/>
      </c>
      <c r="Y44" s="69" t="str">
        <f>IF(AND('Mapa final'!$AA$60="Baja",'Mapa final'!$AC$60="Moderado"),CONCATENATE("R9C",'Mapa final'!$Q$60),"")</f>
        <v/>
      </c>
      <c r="Z44" s="69" t="str">
        <f>IF(AND('Mapa final'!$AA$61="Baja",'Mapa final'!$AC$61="Moderado"),CONCATENATE("R9C",'Mapa final'!$Q$61),"")</f>
        <v/>
      </c>
      <c r="AA44" s="70" t="str">
        <f>IF(AND('Mapa final'!$AA$62="Baja",'Mapa final'!$AC$62="Moderado"),CONCATENATE("R9C",'Mapa final'!$Q$62),"")</f>
        <v/>
      </c>
      <c r="AB44" s="52" t="str">
        <f>IF(AND('Mapa final'!$AA$57="Baja",'Mapa final'!$AC$57="Mayor"),CONCATENATE("R9C",'Mapa final'!$Q$57),"")</f>
        <v/>
      </c>
      <c r="AC44" s="53" t="str">
        <f>IF(AND('Mapa final'!$AA$58="Baja",'Mapa final'!$AC$58="Mayor"),CONCATENATE("R9C",'Mapa final'!$Q$58),"")</f>
        <v/>
      </c>
      <c r="AD44" s="58" t="str">
        <f>IF(AND('Mapa final'!$AA$59="Baja",'Mapa final'!$AC$59="Mayor"),CONCATENATE("R9C",'Mapa final'!$Q$59),"")</f>
        <v/>
      </c>
      <c r="AE44" s="58" t="str">
        <f>IF(AND('Mapa final'!$AA$60="Baja",'Mapa final'!$AC$60="Mayor"),CONCATENATE("R9C",'Mapa final'!$Q$60),"")</f>
        <v/>
      </c>
      <c r="AF44" s="58" t="str">
        <f>IF(AND('Mapa final'!$AA$61="Baja",'Mapa final'!$AC$61="Mayor"),CONCATENATE("R9C",'Mapa final'!$Q$61),"")</f>
        <v/>
      </c>
      <c r="AG44" s="54" t="str">
        <f>IF(AND('Mapa final'!$AA$62="Baja",'Mapa final'!$AC$62="Mayor"),CONCATENATE("R9C",'Mapa final'!$Q$62),"")</f>
        <v/>
      </c>
      <c r="AH44" s="55" t="str">
        <f>IF(AND('Mapa final'!$AA$57="Baja",'Mapa final'!$AC$57="Catastrófico"),CONCATENATE("R9C",'Mapa final'!$Q$57),"")</f>
        <v/>
      </c>
      <c r="AI44" s="56" t="str">
        <f>IF(AND('Mapa final'!$AA$58="Baja",'Mapa final'!$AC$58="Catastrófico"),CONCATENATE("R9C",'Mapa final'!$Q$58),"")</f>
        <v/>
      </c>
      <c r="AJ44" s="56" t="str">
        <f>IF(AND('Mapa final'!$AA$59="Baja",'Mapa final'!$AC$59="Catastrófico"),CONCATENATE("R9C",'Mapa final'!$Q$59),"")</f>
        <v/>
      </c>
      <c r="AK44" s="56" t="str">
        <f>IF(AND('Mapa final'!$AA$60="Baja",'Mapa final'!$AC$60="Catastrófico"),CONCATENATE("R9C",'Mapa final'!$Q$60),"")</f>
        <v/>
      </c>
      <c r="AL44" s="56" t="str">
        <f>IF(AND('Mapa final'!$AA$61="Baja",'Mapa final'!$AC$61="Catastrófico"),CONCATENATE("R9C",'Mapa final'!$Q$61),"")</f>
        <v/>
      </c>
      <c r="AM44" s="57" t="str">
        <f>IF(AND('Mapa final'!$AA$62="Baja",'Mapa final'!$AC$62="Catastrófico"),CONCATENATE("R9C",'Mapa final'!$Q$62),"")</f>
        <v/>
      </c>
      <c r="AN44" s="84"/>
      <c r="AO44" s="404"/>
      <c r="AP44" s="405"/>
      <c r="AQ44" s="405"/>
      <c r="AR44" s="405"/>
      <c r="AS44" s="405"/>
      <c r="AT44" s="406"/>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82"/>
      <c r="C45" s="282"/>
      <c r="D45" s="283"/>
      <c r="E45" s="385"/>
      <c r="F45" s="386"/>
      <c r="G45" s="386"/>
      <c r="H45" s="386"/>
      <c r="I45" s="386"/>
      <c r="J45" s="80" t="str">
        <f>IF(AND('Mapa final'!$AA$63="Baja",'Mapa final'!$AC$63="Leve"),CONCATENATE("R10C",'Mapa final'!$Q$63),"")</f>
        <v/>
      </c>
      <c r="K45" s="81" t="str">
        <f>IF(AND('Mapa final'!$AA$64="Baja",'Mapa final'!$AC$64="Leve"),CONCATENATE("R10C",'Mapa final'!$Q$64),"")</f>
        <v/>
      </c>
      <c r="L45" s="81" t="str">
        <f>IF(AND('Mapa final'!$AA$65="Baja",'Mapa final'!$AC$65="Leve"),CONCATENATE("R10C",'Mapa final'!$Q$65),"")</f>
        <v/>
      </c>
      <c r="M45" s="81" t="str">
        <f>IF(AND('Mapa final'!$AA$66="Baja",'Mapa final'!$AC$66="Leve"),CONCATENATE("R10C",'Mapa final'!$Q$66),"")</f>
        <v/>
      </c>
      <c r="N45" s="81" t="str">
        <f>IF(AND('Mapa final'!$AA$67="Baja",'Mapa final'!$AC$67="Leve"),CONCATENATE("R10C",'Mapa final'!$Q$67),"")</f>
        <v/>
      </c>
      <c r="O45" s="82" t="str">
        <f>IF(AND('Mapa final'!$AA$68="Baja",'Mapa final'!$AC$68="Leve"),CONCATENATE("R10C",'Mapa final'!$Q$68),"")</f>
        <v/>
      </c>
      <c r="P45" s="68" t="str">
        <f>IF(AND('Mapa final'!$AA$63="Baja",'Mapa final'!$AC$63="Menor"),CONCATENATE("R10C",'Mapa final'!$Q$63),"")</f>
        <v/>
      </c>
      <c r="Q45" s="69" t="str">
        <f>IF(AND('Mapa final'!$AA$64="Baja",'Mapa final'!$AC$64="Menor"),CONCATENATE("R10C",'Mapa final'!$Q$64),"")</f>
        <v/>
      </c>
      <c r="R45" s="69" t="str">
        <f>IF(AND('Mapa final'!$AA$65="Baja",'Mapa final'!$AC$65="Menor"),CONCATENATE("R10C",'Mapa final'!$Q$65),"")</f>
        <v/>
      </c>
      <c r="S45" s="69" t="str">
        <f>IF(AND('Mapa final'!$AA$66="Baja",'Mapa final'!$AC$66="Menor"),CONCATENATE("R10C",'Mapa final'!$Q$66),"")</f>
        <v/>
      </c>
      <c r="T45" s="69" t="str">
        <f>IF(AND('Mapa final'!$AA$67="Baja",'Mapa final'!$AC$67="Menor"),CONCATENATE("R10C",'Mapa final'!$Q$67),"")</f>
        <v/>
      </c>
      <c r="U45" s="70" t="str">
        <f>IF(AND('Mapa final'!$AA$68="Baja",'Mapa final'!$AC$68="Menor"),CONCATENATE("R10C",'Mapa final'!$Q$68),"")</f>
        <v/>
      </c>
      <c r="V45" s="71" t="str">
        <f>IF(AND('Mapa final'!$AA$63="Baja",'Mapa final'!$AC$63="Moderado"),CONCATENATE("R10C",'Mapa final'!$Q$63),"")</f>
        <v/>
      </c>
      <c r="W45" s="72" t="str">
        <f>IF(AND('Mapa final'!$AA$64="Baja",'Mapa final'!$AC$64="Moderado"),CONCATENATE("R10C",'Mapa final'!$Q$64),"")</f>
        <v/>
      </c>
      <c r="X45" s="72" t="str">
        <f>IF(AND('Mapa final'!$AA$65="Baja",'Mapa final'!$AC$65="Moderado"),CONCATENATE("R10C",'Mapa final'!$Q$65),"")</f>
        <v/>
      </c>
      <c r="Y45" s="72" t="str">
        <f>IF(AND('Mapa final'!$AA$66="Baja",'Mapa final'!$AC$66="Moderado"),CONCATENATE("R10C",'Mapa final'!$Q$66),"")</f>
        <v/>
      </c>
      <c r="Z45" s="72" t="str">
        <f>IF(AND('Mapa final'!$AA$67="Baja",'Mapa final'!$AC$67="Moderado"),CONCATENATE("R10C",'Mapa final'!$Q$67),"")</f>
        <v/>
      </c>
      <c r="AA45" s="73" t="str">
        <f>IF(AND('Mapa final'!$AA$68="Baja",'Mapa final'!$AC$68="Moderado"),CONCATENATE("R10C",'Mapa final'!$Q$68),"")</f>
        <v/>
      </c>
      <c r="AB45" s="59" t="str">
        <f>IF(AND('Mapa final'!$AA$63="Baja",'Mapa final'!$AC$63="Mayor"),CONCATENATE("R10C",'Mapa final'!$Q$63),"")</f>
        <v/>
      </c>
      <c r="AC45" s="60" t="str">
        <f>IF(AND('Mapa final'!$AA$64="Baja",'Mapa final'!$AC$64="Mayor"),CONCATENATE("R10C",'Mapa final'!$Q$64),"")</f>
        <v/>
      </c>
      <c r="AD45" s="60" t="str">
        <f>IF(AND('Mapa final'!$AA$65="Baja",'Mapa final'!$AC$65="Mayor"),CONCATENATE("R10C",'Mapa final'!$Q$65),"")</f>
        <v/>
      </c>
      <c r="AE45" s="60" t="str">
        <f>IF(AND('Mapa final'!$AA$66="Baja",'Mapa final'!$AC$66="Mayor"),CONCATENATE("R10C",'Mapa final'!$Q$66),"")</f>
        <v/>
      </c>
      <c r="AF45" s="60" t="str">
        <f>IF(AND('Mapa final'!$AA$67="Baja",'Mapa final'!$AC$67="Mayor"),CONCATENATE("R10C",'Mapa final'!$Q$67),"")</f>
        <v/>
      </c>
      <c r="AG45" s="61" t="str">
        <f>IF(AND('Mapa final'!$AA$68="Baja",'Mapa final'!$AC$68="Mayor"),CONCATENATE("R10C",'Mapa final'!$Q$68),"")</f>
        <v/>
      </c>
      <c r="AH45" s="62" t="str">
        <f>IF(AND('Mapa final'!$AA$63="Baja",'Mapa final'!$AC$63="Catastrófico"),CONCATENATE("R10C",'Mapa final'!$Q$63),"")</f>
        <v/>
      </c>
      <c r="AI45" s="63" t="str">
        <f>IF(AND('Mapa final'!$AA$64="Baja",'Mapa final'!$AC$64="Catastrófico"),CONCATENATE("R10C",'Mapa final'!$Q$64),"")</f>
        <v/>
      </c>
      <c r="AJ45" s="63" t="str">
        <f>IF(AND('Mapa final'!$AA$65="Baja",'Mapa final'!$AC$65="Catastrófico"),CONCATENATE("R10C",'Mapa final'!$Q$65),"")</f>
        <v/>
      </c>
      <c r="AK45" s="63" t="str">
        <f>IF(AND('Mapa final'!$AA$66="Baja",'Mapa final'!$AC$66="Catastrófico"),CONCATENATE("R10C",'Mapa final'!$Q$66),"")</f>
        <v/>
      </c>
      <c r="AL45" s="63" t="str">
        <f>IF(AND('Mapa final'!$AA$67="Baja",'Mapa final'!$AC$67="Catastrófico"),CONCATENATE("R10C",'Mapa final'!$Q$67),"")</f>
        <v/>
      </c>
      <c r="AM45" s="64" t="str">
        <f>IF(AND('Mapa final'!$AA$68="Baja",'Mapa final'!$AC$68="Catastrófico"),CONCATENATE("R10C",'Mapa final'!$Q$68),"")</f>
        <v/>
      </c>
      <c r="AN45" s="84"/>
      <c r="AO45" s="407"/>
      <c r="AP45" s="408"/>
      <c r="AQ45" s="408"/>
      <c r="AR45" s="408"/>
      <c r="AS45" s="408"/>
      <c r="AT45" s="409"/>
    </row>
    <row r="46" spans="1:80" ht="46.5" customHeight="1" x14ac:dyDescent="0.35">
      <c r="A46" s="84"/>
      <c r="B46" s="282"/>
      <c r="C46" s="282"/>
      <c r="D46" s="283"/>
      <c r="E46" s="379" t="s">
        <v>105</v>
      </c>
      <c r="F46" s="380"/>
      <c r="G46" s="380"/>
      <c r="H46" s="380"/>
      <c r="I46" s="398"/>
      <c r="J46" s="74" t="str">
        <f ca="1">IF(AND('Mapa final'!$AA$11="Muy Baja",'Mapa final'!$AC$11="Leve"),CONCATENATE("R1C",'Mapa final'!$Q$11),"")</f>
        <v/>
      </c>
      <c r="K46" s="75" t="str">
        <f ca="1">IF(AND('Mapa final'!$AA$12="Muy Baja",'Mapa final'!$AC$12="Leve"),CONCATENATE("R1C",'Mapa final'!$Q$12),"")</f>
        <v/>
      </c>
      <c r="L46" s="75" t="e">
        <f>IF(AND('Mapa final'!#REF!="Muy Baja",'Mapa final'!#REF!="Leve"),CONCATENATE("R1C",'Mapa final'!#REF!),"")</f>
        <v>#REF!</v>
      </c>
      <c r="M46" s="75" t="e">
        <f>IF(AND('Mapa final'!#REF!="Muy Baja",'Mapa final'!#REF!="Leve"),CONCATENATE("R1C",'Mapa final'!#REF!),"")</f>
        <v>#REF!</v>
      </c>
      <c r="N46" s="75" t="str">
        <f>IF(AND('Mapa final'!$AA$13="Muy Baja",'Mapa final'!$AC$13="Leve"),CONCATENATE("R1C",'Mapa final'!$Q$13),"")</f>
        <v/>
      </c>
      <c r="O46" s="76" t="str">
        <f>IF(AND('Mapa final'!$AA$14="Muy Baja",'Mapa final'!$AC$14="Leve"),CONCATENATE("R1C",'Mapa final'!$Q$14),"")</f>
        <v/>
      </c>
      <c r="P46" s="74" t="str">
        <f ca="1">IF(AND('Mapa final'!$AA$11="Muy Baja",'Mapa final'!$AC$11="Menor"),CONCATENATE("R1C",'Mapa final'!$Q$11),"")</f>
        <v/>
      </c>
      <c r="Q46" s="75" t="str">
        <f ca="1">IF(AND('Mapa final'!$AA$12="Muy Baja",'Mapa final'!$AC$12="Menor"),CONCATENATE("R1C",'Mapa final'!$Q$12),"")</f>
        <v/>
      </c>
      <c r="R46" s="75" t="e">
        <f>IF(AND('Mapa final'!#REF!="Muy Baja",'Mapa final'!#REF!="Menor"),CONCATENATE("R1C",'Mapa final'!#REF!),"")</f>
        <v>#REF!</v>
      </c>
      <c r="S46" s="75" t="e">
        <f>IF(AND('Mapa final'!#REF!="Muy Baja",'Mapa final'!#REF!="Menor"),CONCATENATE("R1C",'Mapa final'!#REF!),"")</f>
        <v>#REF!</v>
      </c>
      <c r="T46" s="75" t="str">
        <f>IF(AND('Mapa final'!$AA$13="Muy Baja",'Mapa final'!$AC$13="Menor"),CONCATENATE("R1C",'Mapa final'!$Q$13),"")</f>
        <v/>
      </c>
      <c r="U46" s="76" t="str">
        <f>IF(AND('Mapa final'!$AA$14="Muy Baja",'Mapa final'!$AC$14="Menor"),CONCATENATE("R1C",'Mapa final'!$Q$14),"")</f>
        <v/>
      </c>
      <c r="V46" s="65" t="str">
        <f ca="1">IF(AND('Mapa final'!$AA$11="Muy Baja",'Mapa final'!$AC$11="Moderado"),CONCATENATE("R1C",'Mapa final'!$Q$11),"")</f>
        <v/>
      </c>
      <c r="W46" s="83" t="str">
        <f ca="1">IF(AND('Mapa final'!$AA$12="Muy Baja",'Mapa final'!$AC$12="Moderado"),CONCATENATE("R1C",'Mapa final'!$Q$12),"")</f>
        <v/>
      </c>
      <c r="X46" s="66" t="e">
        <f>IF(AND('Mapa final'!#REF!="Muy Baja",'Mapa final'!#REF!="Moderado"),CONCATENATE("R1C",'Mapa final'!#REF!),"")</f>
        <v>#REF!</v>
      </c>
      <c r="Y46" s="66" t="e">
        <f>IF(AND('Mapa final'!#REF!="Muy Baja",'Mapa final'!#REF!="Moderado"),CONCATENATE("R1C",'Mapa final'!#REF!),"")</f>
        <v>#REF!</v>
      </c>
      <c r="Z46" s="66" t="str">
        <f>IF(AND('Mapa final'!$AA$13="Muy Baja",'Mapa final'!$AC$13="Moderado"),CONCATENATE("R1C",'Mapa final'!$Q$13),"")</f>
        <v/>
      </c>
      <c r="AA46" s="67" t="str">
        <f>IF(AND('Mapa final'!$AA$14="Muy Baja",'Mapa final'!$AC$14="Moderado"),CONCATENATE("R1C",'Mapa final'!$Q$14),"")</f>
        <v/>
      </c>
      <c r="AB46" s="46" t="str">
        <f ca="1">IF(AND('Mapa final'!$AA$11="Muy Baja",'Mapa final'!$AC$11="Mayor"),CONCATENATE("R1C",'Mapa final'!$Q$11),"")</f>
        <v/>
      </c>
      <c r="AC46" s="47" t="str">
        <f ca="1">IF(AND('Mapa final'!$AA$12="Muy Baja",'Mapa final'!$AC$12="Mayor"),CONCATENATE("R1C",'Mapa final'!$Q$12),"")</f>
        <v/>
      </c>
      <c r="AD46" s="47" t="e">
        <f>IF(AND('Mapa final'!#REF!="Muy Baja",'Mapa final'!#REF!="Mayor"),CONCATENATE("R1C",'Mapa final'!#REF!),"")</f>
        <v>#REF!</v>
      </c>
      <c r="AE46" s="47" t="e">
        <f>IF(AND('Mapa final'!#REF!="Muy Baja",'Mapa final'!#REF!="Mayor"),CONCATENATE("R1C",'Mapa final'!#REF!),"")</f>
        <v>#REF!</v>
      </c>
      <c r="AF46" s="47" t="str">
        <f>IF(AND('Mapa final'!$AA$13="Muy Baja",'Mapa final'!$AC$13="Mayor"),CONCATENATE("R1C",'Mapa final'!$Q$13),"")</f>
        <v/>
      </c>
      <c r="AG46" s="48" t="str">
        <f>IF(AND('Mapa final'!$AA$14="Muy Baja",'Mapa final'!$AC$14="Mayor"),CONCATENATE("R1C",'Mapa final'!$Q$14),"")</f>
        <v/>
      </c>
      <c r="AH46" s="49" t="str">
        <f ca="1">IF(AND('Mapa final'!$AA$11="Muy Baja",'Mapa final'!$AC$11="Catastrófico"),CONCATENATE("R1C",'Mapa final'!$Q$11),"")</f>
        <v/>
      </c>
      <c r="AI46" s="50" t="str">
        <f ca="1">IF(AND('Mapa final'!$AA$12="Muy Baja",'Mapa final'!$AC$12="Catastrófico"),CONCATENATE("R1C",'Mapa final'!$Q$12),"")</f>
        <v/>
      </c>
      <c r="AJ46" s="50" t="e">
        <f>IF(AND('Mapa final'!#REF!="Muy Baja",'Mapa final'!#REF!="Catastrófico"),CONCATENATE("R1C",'Mapa final'!#REF!),"")</f>
        <v>#REF!</v>
      </c>
      <c r="AK46" s="50" t="e">
        <f>IF(AND('Mapa final'!#REF!="Muy Baja",'Mapa final'!#REF!="Catastrófico"),CONCATENATE("R1C",'Mapa final'!#REF!),"")</f>
        <v>#REF!</v>
      </c>
      <c r="AL46" s="50" t="str">
        <f>IF(AND('Mapa final'!$AA$13="Muy Baja",'Mapa final'!$AC$13="Catastrófico"),CONCATENATE("R1C",'Mapa final'!$Q$13),"")</f>
        <v/>
      </c>
      <c r="AM46" s="51" t="str">
        <f>IF(AND('Mapa final'!$AA$14="Muy Baja",'Mapa final'!$AC$14="Catastrófico"),CONCATENATE("R1C",'Mapa final'!$Q$14),"")</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82"/>
      <c r="C47" s="282"/>
      <c r="D47" s="283"/>
      <c r="E47" s="381"/>
      <c r="F47" s="382"/>
      <c r="G47" s="382"/>
      <c r="H47" s="382"/>
      <c r="I47" s="399"/>
      <c r="J47" s="77" t="str">
        <f>IF(AND('Mapa final'!$AA$15="Muy Baja",'Mapa final'!$AC$15="Leve"),CONCATENATE("R2C",'Mapa final'!$Q$15),"")</f>
        <v/>
      </c>
      <c r="K47" s="78" t="str">
        <f>IF(AND('Mapa final'!$AA$16="Muy Baja",'Mapa final'!$AC$16="Leve"),CONCATENATE("R2C",'Mapa final'!$Q$16),"")</f>
        <v/>
      </c>
      <c r="L47" s="78" t="str">
        <f>IF(AND('Mapa final'!$AA$17="Muy Baja",'Mapa final'!$AC$17="Leve"),CONCATENATE("R2C",'Mapa final'!$Q$17),"")</f>
        <v/>
      </c>
      <c r="M47" s="78" t="str">
        <f>IF(AND('Mapa final'!$AA$18="Muy Baja",'Mapa final'!$AC$18="Leve"),CONCATENATE("R2C",'Mapa final'!$Q$18),"")</f>
        <v/>
      </c>
      <c r="N47" s="78" t="str">
        <f>IF(AND('Mapa final'!$AA$19="Muy Baja",'Mapa final'!$AC$19="Leve"),CONCATENATE("R2C",'Mapa final'!$Q$19),"")</f>
        <v/>
      </c>
      <c r="O47" s="79" t="str">
        <f>IF(AND('Mapa final'!$AA$20="Muy Baja",'Mapa final'!$AC$20="Leve"),CONCATENATE("R2C",'Mapa final'!$Q$20),"")</f>
        <v/>
      </c>
      <c r="P47" s="77" t="str">
        <f>IF(AND('Mapa final'!$AA$15="Muy Baja",'Mapa final'!$AC$15="Menor"),CONCATENATE("R2C",'Mapa final'!$Q$15),"")</f>
        <v/>
      </c>
      <c r="Q47" s="78" t="str">
        <f>IF(AND('Mapa final'!$AA$16="Muy Baja",'Mapa final'!$AC$16="Menor"),CONCATENATE("R2C",'Mapa final'!$Q$16),"")</f>
        <v/>
      </c>
      <c r="R47" s="78" t="str">
        <f>IF(AND('Mapa final'!$AA$17="Muy Baja",'Mapa final'!$AC$17="Menor"),CONCATENATE("R2C",'Mapa final'!$Q$17),"")</f>
        <v/>
      </c>
      <c r="S47" s="78" t="str">
        <f>IF(AND('Mapa final'!$AA$18="Muy Baja",'Mapa final'!$AC$18="Menor"),CONCATENATE("R2C",'Mapa final'!$Q$18),"")</f>
        <v/>
      </c>
      <c r="T47" s="78" t="str">
        <f>IF(AND('Mapa final'!$AA$19="Muy Baja",'Mapa final'!$AC$19="Menor"),CONCATENATE("R2C",'Mapa final'!$Q$19),"")</f>
        <v/>
      </c>
      <c r="U47" s="79" t="str">
        <f>IF(AND('Mapa final'!$AA$20="Muy Baja",'Mapa final'!$AC$20="Menor"),CONCATENATE("R2C",'Mapa final'!$Q$20),"")</f>
        <v/>
      </c>
      <c r="V47" s="68" t="str">
        <f>IF(AND('Mapa final'!$AA$15="Muy Baja",'Mapa final'!$AC$15="Moderado"),CONCATENATE("R2C",'Mapa final'!$Q$15),"")</f>
        <v/>
      </c>
      <c r="W47" s="69" t="str">
        <f>IF(AND('Mapa final'!$AA$16="Muy Baja",'Mapa final'!$AC$16="Moderado"),CONCATENATE("R2C",'Mapa final'!$Q$16),"")</f>
        <v/>
      </c>
      <c r="X47" s="69" t="str">
        <f>IF(AND('Mapa final'!$AA$17="Muy Baja",'Mapa final'!$AC$17="Moderado"),CONCATENATE("R2C",'Mapa final'!$Q$17),"")</f>
        <v/>
      </c>
      <c r="Y47" s="69" t="str">
        <f>IF(AND('Mapa final'!$AA$18="Muy Baja",'Mapa final'!$AC$18="Moderado"),CONCATENATE("R2C",'Mapa final'!$Q$18),"")</f>
        <v/>
      </c>
      <c r="Z47" s="69" t="str">
        <f>IF(AND('Mapa final'!$AA$19="Muy Baja",'Mapa final'!$AC$19="Moderado"),CONCATENATE("R2C",'Mapa final'!$Q$19),"")</f>
        <v/>
      </c>
      <c r="AA47" s="70" t="str">
        <f>IF(AND('Mapa final'!$AA$20="Muy Baja",'Mapa final'!$AC$20="Moderado"),CONCATENATE("R2C",'Mapa final'!$Q$20),"")</f>
        <v/>
      </c>
      <c r="AB47" s="52" t="str">
        <f>IF(AND('Mapa final'!$AA$15="Muy Baja",'Mapa final'!$AC$15="Mayor"),CONCATENATE("R2C",'Mapa final'!$Q$15),"")</f>
        <v/>
      </c>
      <c r="AC47" s="53" t="str">
        <f>IF(AND('Mapa final'!$AA$16="Muy Baja",'Mapa final'!$AC$16="Mayor"),CONCATENATE("R2C",'Mapa final'!$Q$16),"")</f>
        <v/>
      </c>
      <c r="AD47" s="53" t="str">
        <f>IF(AND('Mapa final'!$AA$17="Muy Baja",'Mapa final'!$AC$17="Mayor"),CONCATENATE("R2C",'Mapa final'!$Q$17),"")</f>
        <v/>
      </c>
      <c r="AE47" s="53" t="str">
        <f>IF(AND('Mapa final'!$AA$18="Muy Baja",'Mapa final'!$AC$18="Mayor"),CONCATENATE("R2C",'Mapa final'!$Q$18),"")</f>
        <v/>
      </c>
      <c r="AF47" s="53" t="str">
        <f>IF(AND('Mapa final'!$AA$19="Muy Baja",'Mapa final'!$AC$19="Mayor"),CONCATENATE("R2C",'Mapa final'!$Q$19),"")</f>
        <v/>
      </c>
      <c r="AG47" s="54" t="str">
        <f>IF(AND('Mapa final'!$AA$20="Muy Baja",'Mapa final'!$AC$20="Mayor"),CONCATENATE("R2C",'Mapa final'!$Q$20),"")</f>
        <v/>
      </c>
      <c r="AH47" s="55" t="str">
        <f>IF(AND('Mapa final'!$AA$15="Muy Baja",'Mapa final'!$AC$15="Catastrófico"),CONCATENATE("R2C",'Mapa final'!$Q$15),"")</f>
        <v/>
      </c>
      <c r="AI47" s="56" t="str">
        <f>IF(AND('Mapa final'!$AA$16="Muy Baja",'Mapa final'!$AC$16="Catastrófico"),CONCATENATE("R2C",'Mapa final'!$Q$16),"")</f>
        <v/>
      </c>
      <c r="AJ47" s="56" t="str">
        <f>IF(AND('Mapa final'!$AA$17="Muy Baja",'Mapa final'!$AC$17="Catastrófico"),CONCATENATE("R2C",'Mapa final'!$Q$17),"")</f>
        <v/>
      </c>
      <c r="AK47" s="56" t="str">
        <f>IF(AND('Mapa final'!$AA$18="Muy Baja",'Mapa final'!$AC$18="Catastrófico"),CONCATENATE("R2C",'Mapa final'!$Q$18),"")</f>
        <v/>
      </c>
      <c r="AL47" s="56" t="str">
        <f>IF(AND('Mapa final'!$AA$19="Muy Baja",'Mapa final'!$AC$19="Catastrófico"),CONCATENATE("R2C",'Mapa final'!$Q$19),"")</f>
        <v/>
      </c>
      <c r="AM47" s="57" t="str">
        <f>IF(AND('Mapa final'!$AA$20="Muy Baja",'Mapa final'!$AC$20="Catastrófico"),CONCATENATE("R2C",'Mapa final'!$Q$20),"")</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82"/>
      <c r="C48" s="282"/>
      <c r="D48" s="283"/>
      <c r="E48" s="381"/>
      <c r="F48" s="382"/>
      <c r="G48" s="382"/>
      <c r="H48" s="382"/>
      <c r="I48" s="399"/>
      <c r="J48" s="77" t="str">
        <f>IF(AND('Mapa final'!$AA$21="Muy Baja",'Mapa final'!$AC$21="Leve"),CONCATENATE("R3C",'Mapa final'!$Q$21),"")</f>
        <v/>
      </c>
      <c r="K48" s="78" t="str">
        <f>IF(AND('Mapa final'!$AA$22="Muy Baja",'Mapa final'!$AC$22="Leve"),CONCATENATE("R3C",'Mapa final'!$Q$22),"")</f>
        <v/>
      </c>
      <c r="L48" s="78" t="str">
        <f>IF(AND('Mapa final'!$AA$23="Muy Baja",'Mapa final'!$AC$23="Leve"),CONCATENATE("R3C",'Mapa final'!$Q$23),"")</f>
        <v/>
      </c>
      <c r="M48" s="78" t="str">
        <f>IF(AND('Mapa final'!$AA$24="Muy Baja",'Mapa final'!$AC$24="Leve"),CONCATENATE("R3C",'Mapa final'!$Q$24),"")</f>
        <v/>
      </c>
      <c r="N48" s="78" t="str">
        <f>IF(AND('Mapa final'!$AA$25="Muy Baja",'Mapa final'!$AC$25="Leve"),CONCATENATE("R3C",'Mapa final'!$Q$25),"")</f>
        <v/>
      </c>
      <c r="O48" s="79" t="str">
        <f>IF(AND('Mapa final'!$AA$26="Muy Baja",'Mapa final'!$AC$26="Leve"),CONCATENATE("R3C",'Mapa final'!$Q$26),"")</f>
        <v/>
      </c>
      <c r="P48" s="77" t="str">
        <f>IF(AND('Mapa final'!$AA$21="Muy Baja",'Mapa final'!$AC$21="Menor"),CONCATENATE("R3C",'Mapa final'!$Q$21),"")</f>
        <v/>
      </c>
      <c r="Q48" s="78" t="str">
        <f>IF(AND('Mapa final'!$AA$22="Muy Baja",'Mapa final'!$AC$22="Menor"),CONCATENATE("R3C",'Mapa final'!$Q$22),"")</f>
        <v/>
      </c>
      <c r="R48" s="78" t="str">
        <f>IF(AND('Mapa final'!$AA$23="Muy Baja",'Mapa final'!$AC$23="Menor"),CONCATENATE("R3C",'Mapa final'!$Q$23),"")</f>
        <v/>
      </c>
      <c r="S48" s="78" t="str">
        <f>IF(AND('Mapa final'!$AA$24="Muy Baja",'Mapa final'!$AC$24="Menor"),CONCATENATE("R3C",'Mapa final'!$Q$24),"")</f>
        <v/>
      </c>
      <c r="T48" s="78" t="str">
        <f>IF(AND('Mapa final'!$AA$25="Muy Baja",'Mapa final'!$AC$25="Menor"),CONCATENATE("R3C",'Mapa final'!$Q$25),"")</f>
        <v/>
      </c>
      <c r="U48" s="79" t="str">
        <f>IF(AND('Mapa final'!$AA$26="Muy Baja",'Mapa final'!$AC$26="Menor"),CONCATENATE("R3C",'Mapa final'!$Q$26),"")</f>
        <v/>
      </c>
      <c r="V48" s="68" t="str">
        <f>IF(AND('Mapa final'!$AA$21="Muy Baja",'Mapa final'!$AC$21="Moderado"),CONCATENATE("R3C",'Mapa final'!$Q$21),"")</f>
        <v/>
      </c>
      <c r="W48" s="69" t="str">
        <f>IF(AND('Mapa final'!$AA$22="Muy Baja",'Mapa final'!$AC$22="Moderado"),CONCATENATE("R3C",'Mapa final'!$Q$22),"")</f>
        <v/>
      </c>
      <c r="X48" s="69" t="str">
        <f>IF(AND('Mapa final'!$AA$23="Muy Baja",'Mapa final'!$AC$23="Moderado"),CONCATENATE("R3C",'Mapa final'!$Q$23),"")</f>
        <v/>
      </c>
      <c r="Y48" s="69" t="str">
        <f>IF(AND('Mapa final'!$AA$24="Muy Baja",'Mapa final'!$AC$24="Moderado"),CONCATENATE("R3C",'Mapa final'!$Q$24),"")</f>
        <v/>
      </c>
      <c r="Z48" s="69" t="str">
        <f>IF(AND('Mapa final'!$AA$25="Muy Baja",'Mapa final'!$AC$25="Moderado"),CONCATENATE("R3C",'Mapa final'!$Q$25),"")</f>
        <v/>
      </c>
      <c r="AA48" s="70" t="str">
        <f>IF(AND('Mapa final'!$AA$26="Muy Baja",'Mapa final'!$AC$26="Moderado"),CONCATENATE("R3C",'Mapa final'!$Q$26),"")</f>
        <v/>
      </c>
      <c r="AB48" s="52" t="str">
        <f>IF(AND('Mapa final'!$AA$21="Muy Baja",'Mapa final'!$AC$21="Mayor"),CONCATENATE("R3C",'Mapa final'!$Q$21),"")</f>
        <v/>
      </c>
      <c r="AC48" s="53" t="str">
        <f>IF(AND('Mapa final'!$AA$22="Muy Baja",'Mapa final'!$AC$22="Mayor"),CONCATENATE("R3C",'Mapa final'!$Q$22),"")</f>
        <v/>
      </c>
      <c r="AD48" s="53" t="str">
        <f>IF(AND('Mapa final'!$AA$23="Muy Baja",'Mapa final'!$AC$23="Mayor"),CONCATENATE("R3C",'Mapa final'!$Q$23),"")</f>
        <v/>
      </c>
      <c r="AE48" s="53" t="str">
        <f>IF(AND('Mapa final'!$AA$24="Muy Baja",'Mapa final'!$AC$24="Mayor"),CONCATENATE("R3C",'Mapa final'!$Q$24),"")</f>
        <v/>
      </c>
      <c r="AF48" s="53" t="str">
        <f>IF(AND('Mapa final'!$AA$25="Muy Baja",'Mapa final'!$AC$25="Mayor"),CONCATENATE("R3C",'Mapa final'!$Q$25),"")</f>
        <v/>
      </c>
      <c r="AG48" s="54" t="str">
        <f>IF(AND('Mapa final'!$AA$26="Muy Baja",'Mapa final'!$AC$26="Mayor"),CONCATENATE("R3C",'Mapa final'!$Q$26),"")</f>
        <v/>
      </c>
      <c r="AH48" s="55" t="str">
        <f>IF(AND('Mapa final'!$AA$21="Muy Baja",'Mapa final'!$AC$21="Catastrófico"),CONCATENATE("R3C",'Mapa final'!$Q$21),"")</f>
        <v/>
      </c>
      <c r="AI48" s="56" t="str">
        <f>IF(AND('Mapa final'!$AA$22="Muy Baja",'Mapa final'!$AC$22="Catastrófico"),CONCATENATE("R3C",'Mapa final'!$Q$22),"")</f>
        <v/>
      </c>
      <c r="AJ48" s="56" t="str">
        <f>IF(AND('Mapa final'!$AA$23="Muy Baja",'Mapa final'!$AC$23="Catastrófico"),CONCATENATE("R3C",'Mapa final'!$Q$23),"")</f>
        <v/>
      </c>
      <c r="AK48" s="56" t="str">
        <f>IF(AND('Mapa final'!$AA$24="Muy Baja",'Mapa final'!$AC$24="Catastrófico"),CONCATENATE("R3C",'Mapa final'!$Q$24),"")</f>
        <v/>
      </c>
      <c r="AL48" s="56" t="str">
        <f>IF(AND('Mapa final'!$AA$25="Muy Baja",'Mapa final'!$AC$25="Catastrófico"),CONCATENATE("R3C",'Mapa final'!$Q$25),"")</f>
        <v/>
      </c>
      <c r="AM48" s="57" t="str">
        <f>IF(AND('Mapa final'!$AA$26="Muy Baja",'Mapa final'!$AC$26="Catastrófico"),CONCATENATE("R3C",'Mapa final'!$Q$26),"")</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82"/>
      <c r="C49" s="282"/>
      <c r="D49" s="283"/>
      <c r="E49" s="383"/>
      <c r="F49" s="384"/>
      <c r="G49" s="384"/>
      <c r="H49" s="384"/>
      <c r="I49" s="399"/>
      <c r="J49" s="77" t="str">
        <f>IF(AND('Mapa final'!$AA$27="Muy Baja",'Mapa final'!$AC$27="Leve"),CONCATENATE("R4C",'Mapa final'!$Q$27),"")</f>
        <v/>
      </c>
      <c r="K49" s="78" t="str">
        <f>IF(AND('Mapa final'!$AA$28="Muy Baja",'Mapa final'!$AC$28="Leve"),CONCATENATE("R4C",'Mapa final'!$Q$28),"")</f>
        <v/>
      </c>
      <c r="L49" s="78" t="str">
        <f>IF(AND('Mapa final'!$AA$29="Muy Baja",'Mapa final'!$AC$29="Leve"),CONCATENATE("R4C",'Mapa final'!$Q$29),"")</f>
        <v/>
      </c>
      <c r="M49" s="78" t="str">
        <f>IF(AND('Mapa final'!$AA$30="Muy Baja",'Mapa final'!$AC$30="Leve"),CONCATENATE("R4C",'Mapa final'!$Q$30),"")</f>
        <v/>
      </c>
      <c r="N49" s="78" t="str">
        <f>IF(AND('Mapa final'!$AA$31="Muy Baja",'Mapa final'!$AC$31="Leve"),CONCATENATE("R4C",'Mapa final'!$Q$31),"")</f>
        <v/>
      </c>
      <c r="O49" s="79" t="str">
        <f>IF(AND('Mapa final'!$AA$32="Muy Baja",'Mapa final'!$AC$32="Leve"),CONCATENATE("R4C",'Mapa final'!$Q$32),"")</f>
        <v/>
      </c>
      <c r="P49" s="77" t="str">
        <f>IF(AND('Mapa final'!$AA$27="Muy Baja",'Mapa final'!$AC$27="Menor"),CONCATENATE("R4C",'Mapa final'!$Q$27),"")</f>
        <v/>
      </c>
      <c r="Q49" s="78" t="str">
        <f>IF(AND('Mapa final'!$AA$28="Muy Baja",'Mapa final'!$AC$28="Menor"),CONCATENATE("R4C",'Mapa final'!$Q$28),"")</f>
        <v/>
      </c>
      <c r="R49" s="78" t="str">
        <f>IF(AND('Mapa final'!$AA$29="Muy Baja",'Mapa final'!$AC$29="Menor"),CONCATENATE("R4C",'Mapa final'!$Q$29),"")</f>
        <v/>
      </c>
      <c r="S49" s="78" t="str">
        <f>IF(AND('Mapa final'!$AA$30="Muy Baja",'Mapa final'!$AC$30="Menor"),CONCATENATE("R4C",'Mapa final'!$Q$30),"")</f>
        <v/>
      </c>
      <c r="T49" s="78" t="str">
        <f>IF(AND('Mapa final'!$AA$31="Muy Baja",'Mapa final'!$AC$31="Menor"),CONCATENATE("R4C",'Mapa final'!$Q$31),"")</f>
        <v/>
      </c>
      <c r="U49" s="79" t="str">
        <f>IF(AND('Mapa final'!$AA$32="Muy Baja",'Mapa final'!$AC$32="Menor"),CONCATENATE("R4C",'Mapa final'!$Q$32),"")</f>
        <v/>
      </c>
      <c r="V49" s="68" t="str">
        <f>IF(AND('Mapa final'!$AA$27="Muy Baja",'Mapa final'!$AC$27="Moderado"),CONCATENATE("R4C",'Mapa final'!$Q$27),"")</f>
        <v/>
      </c>
      <c r="W49" s="69" t="str">
        <f>IF(AND('Mapa final'!$AA$28="Muy Baja",'Mapa final'!$AC$28="Moderado"),CONCATENATE("R4C",'Mapa final'!$Q$28),"")</f>
        <v/>
      </c>
      <c r="X49" s="69" t="str">
        <f>IF(AND('Mapa final'!$AA$29="Muy Baja",'Mapa final'!$AC$29="Moderado"),CONCATENATE("R4C",'Mapa final'!$Q$29),"")</f>
        <v/>
      </c>
      <c r="Y49" s="69" t="str">
        <f>IF(AND('Mapa final'!$AA$30="Muy Baja",'Mapa final'!$AC$30="Moderado"),CONCATENATE("R4C",'Mapa final'!$Q$30),"")</f>
        <v/>
      </c>
      <c r="Z49" s="69" t="str">
        <f>IF(AND('Mapa final'!$AA$31="Muy Baja",'Mapa final'!$AC$31="Moderado"),CONCATENATE("R4C",'Mapa final'!$Q$31),"")</f>
        <v/>
      </c>
      <c r="AA49" s="70" t="str">
        <f>IF(AND('Mapa final'!$AA$32="Muy Baja",'Mapa final'!$AC$32="Moderado"),CONCATENATE("R4C",'Mapa final'!$Q$32),"")</f>
        <v/>
      </c>
      <c r="AB49" s="52" t="str">
        <f>IF(AND('Mapa final'!$AA$27="Muy Baja",'Mapa final'!$AC$27="Mayor"),CONCATENATE("R4C",'Mapa final'!$Q$27),"")</f>
        <v/>
      </c>
      <c r="AC49" s="53" t="str">
        <f>IF(AND('Mapa final'!$AA$28="Muy Baja",'Mapa final'!$AC$28="Mayor"),CONCATENATE("R4C",'Mapa final'!$Q$28),"")</f>
        <v/>
      </c>
      <c r="AD49" s="53" t="str">
        <f>IF(AND('Mapa final'!$AA$29="Muy Baja",'Mapa final'!$AC$29="Mayor"),CONCATENATE("R4C",'Mapa final'!$Q$29),"")</f>
        <v/>
      </c>
      <c r="AE49" s="53" t="str">
        <f>IF(AND('Mapa final'!$AA$30="Muy Baja",'Mapa final'!$AC$30="Mayor"),CONCATENATE("R4C",'Mapa final'!$Q$30),"")</f>
        <v/>
      </c>
      <c r="AF49" s="53" t="str">
        <f>IF(AND('Mapa final'!$AA$31="Muy Baja",'Mapa final'!$AC$31="Mayor"),CONCATENATE("R4C",'Mapa final'!$Q$31),"")</f>
        <v/>
      </c>
      <c r="AG49" s="54" t="str">
        <f>IF(AND('Mapa final'!$AA$32="Muy Baja",'Mapa final'!$AC$32="Mayor"),CONCATENATE("R4C",'Mapa final'!$Q$32),"")</f>
        <v/>
      </c>
      <c r="AH49" s="55" t="str">
        <f>IF(AND('Mapa final'!$AA$27="Muy Baja",'Mapa final'!$AC$27="Catastrófico"),CONCATENATE("R4C",'Mapa final'!$Q$27),"")</f>
        <v/>
      </c>
      <c r="AI49" s="56" t="str">
        <f>IF(AND('Mapa final'!$AA$28="Muy Baja",'Mapa final'!$AC$28="Catastrófico"),CONCATENATE("R4C",'Mapa final'!$Q$28),"")</f>
        <v/>
      </c>
      <c r="AJ49" s="56" t="str">
        <f>IF(AND('Mapa final'!$AA$29="Muy Baja",'Mapa final'!$AC$29="Catastrófico"),CONCATENATE("R4C",'Mapa final'!$Q$29),"")</f>
        <v/>
      </c>
      <c r="AK49" s="56" t="str">
        <f>IF(AND('Mapa final'!$AA$30="Muy Baja",'Mapa final'!$AC$30="Catastrófico"),CONCATENATE("R4C",'Mapa final'!$Q$30),"")</f>
        <v/>
      </c>
      <c r="AL49" s="56" t="str">
        <f>IF(AND('Mapa final'!$AA$31="Muy Baja",'Mapa final'!$AC$31="Catastrófico"),CONCATENATE("R4C",'Mapa final'!$Q$31),"")</f>
        <v/>
      </c>
      <c r="AM49" s="57" t="str">
        <f>IF(AND('Mapa final'!$AA$32="Muy Baja",'Mapa final'!$AC$32="Catastrófico"),CONCATENATE("R4C",'Mapa final'!$Q$32),"")</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82"/>
      <c r="C50" s="282"/>
      <c r="D50" s="283"/>
      <c r="E50" s="383"/>
      <c r="F50" s="384"/>
      <c r="G50" s="384"/>
      <c r="H50" s="384"/>
      <c r="I50" s="399"/>
      <c r="J50" s="77" t="str">
        <f>IF(AND('Mapa final'!$AA$33="Muy Baja",'Mapa final'!$AC$33="Leve"),CONCATENATE("R5C",'Mapa final'!$Q$33),"")</f>
        <v/>
      </c>
      <c r="K50" s="78" t="str">
        <f>IF(AND('Mapa final'!$AA$34="Muy Baja",'Mapa final'!$AC$34="Leve"),CONCATENATE("R5C",'Mapa final'!$Q$34),"")</f>
        <v/>
      </c>
      <c r="L50" s="78" t="str">
        <f>IF(AND('Mapa final'!$AA$35="Muy Baja",'Mapa final'!$AC$35="Leve"),CONCATENATE("R5C",'Mapa final'!$Q$35),"")</f>
        <v/>
      </c>
      <c r="M50" s="78" t="str">
        <f>IF(AND('Mapa final'!$AA$36="Muy Baja",'Mapa final'!$AC$36="Leve"),CONCATENATE("R5C",'Mapa final'!$Q$36),"")</f>
        <v/>
      </c>
      <c r="N50" s="78" t="str">
        <f>IF(AND('Mapa final'!$AA$37="Muy Baja",'Mapa final'!$AC$37="Leve"),CONCATENATE("R5C",'Mapa final'!$Q$37),"")</f>
        <v/>
      </c>
      <c r="O50" s="79" t="str">
        <f>IF(AND('Mapa final'!$AA$38="Muy Baja",'Mapa final'!$AC$38="Leve"),CONCATENATE("R5C",'Mapa final'!$Q$38),"")</f>
        <v/>
      </c>
      <c r="P50" s="77" t="str">
        <f>IF(AND('Mapa final'!$AA$33="Muy Baja",'Mapa final'!$AC$33="Menor"),CONCATENATE("R5C",'Mapa final'!$Q$33),"")</f>
        <v/>
      </c>
      <c r="Q50" s="78" t="str">
        <f>IF(AND('Mapa final'!$AA$34="Muy Baja",'Mapa final'!$AC$34="Menor"),CONCATENATE("R5C",'Mapa final'!$Q$34),"")</f>
        <v/>
      </c>
      <c r="R50" s="78" t="str">
        <f>IF(AND('Mapa final'!$AA$35="Muy Baja",'Mapa final'!$AC$35="Menor"),CONCATENATE("R5C",'Mapa final'!$Q$35),"")</f>
        <v/>
      </c>
      <c r="S50" s="78" t="str">
        <f>IF(AND('Mapa final'!$AA$36="Muy Baja",'Mapa final'!$AC$36="Menor"),CONCATENATE("R5C",'Mapa final'!$Q$36),"")</f>
        <v/>
      </c>
      <c r="T50" s="78" t="str">
        <f>IF(AND('Mapa final'!$AA$37="Muy Baja",'Mapa final'!$AC$37="Menor"),CONCATENATE("R5C",'Mapa final'!$Q$37),"")</f>
        <v/>
      </c>
      <c r="U50" s="79" t="str">
        <f>IF(AND('Mapa final'!$AA$38="Muy Baja",'Mapa final'!$AC$38="Menor"),CONCATENATE("R5C",'Mapa final'!$Q$38),"")</f>
        <v/>
      </c>
      <c r="V50" s="68" t="str">
        <f>IF(AND('Mapa final'!$AA$33="Muy Baja",'Mapa final'!$AC$33="Moderado"),CONCATENATE("R5C",'Mapa final'!$Q$33),"")</f>
        <v/>
      </c>
      <c r="W50" s="69" t="str">
        <f>IF(AND('Mapa final'!$AA$34="Muy Baja",'Mapa final'!$AC$34="Moderado"),CONCATENATE("R5C",'Mapa final'!$Q$34),"")</f>
        <v/>
      </c>
      <c r="X50" s="69" t="str">
        <f>IF(AND('Mapa final'!$AA$35="Muy Baja",'Mapa final'!$AC$35="Moderado"),CONCATENATE("R5C",'Mapa final'!$Q$35),"")</f>
        <v/>
      </c>
      <c r="Y50" s="69" t="str">
        <f>IF(AND('Mapa final'!$AA$36="Muy Baja",'Mapa final'!$AC$36="Moderado"),CONCATENATE("R5C",'Mapa final'!$Q$36),"")</f>
        <v/>
      </c>
      <c r="Z50" s="69" t="str">
        <f>IF(AND('Mapa final'!$AA$37="Muy Baja",'Mapa final'!$AC$37="Moderado"),CONCATENATE("R5C",'Mapa final'!$Q$37),"")</f>
        <v/>
      </c>
      <c r="AA50" s="70" t="str">
        <f>IF(AND('Mapa final'!$AA$38="Muy Baja",'Mapa final'!$AC$38="Moderado"),CONCATENATE("R5C",'Mapa final'!$Q$38),"")</f>
        <v/>
      </c>
      <c r="AB50" s="52" t="str">
        <f>IF(AND('Mapa final'!$AA$33="Muy Baja",'Mapa final'!$AC$33="Mayor"),CONCATENATE("R5C",'Mapa final'!$Q$33),"")</f>
        <v/>
      </c>
      <c r="AC50" s="53" t="str">
        <f>IF(AND('Mapa final'!$AA$34="Muy Baja",'Mapa final'!$AC$34="Mayor"),CONCATENATE("R5C",'Mapa final'!$Q$34),"")</f>
        <v/>
      </c>
      <c r="AD50" s="58" t="str">
        <f>IF(AND('Mapa final'!$AA$35="Muy Baja",'Mapa final'!$AC$35="Mayor"),CONCATENATE("R5C",'Mapa final'!$Q$35),"")</f>
        <v/>
      </c>
      <c r="AE50" s="58" t="str">
        <f>IF(AND('Mapa final'!$AA$36="Muy Baja",'Mapa final'!$AC$36="Mayor"),CONCATENATE("R5C",'Mapa final'!$Q$36),"")</f>
        <v/>
      </c>
      <c r="AF50" s="58" t="str">
        <f>IF(AND('Mapa final'!$AA$37="Muy Baja",'Mapa final'!$AC$37="Mayor"),CONCATENATE("R5C",'Mapa final'!$Q$37),"")</f>
        <v/>
      </c>
      <c r="AG50" s="54" t="str">
        <f>IF(AND('Mapa final'!$AA$38="Muy Baja",'Mapa final'!$AC$38="Mayor"),CONCATENATE("R5C",'Mapa final'!$Q$38),"")</f>
        <v/>
      </c>
      <c r="AH50" s="55" t="str">
        <f>IF(AND('Mapa final'!$AA$33="Muy Baja",'Mapa final'!$AC$33="Catastrófico"),CONCATENATE("R5C",'Mapa final'!$Q$33),"")</f>
        <v/>
      </c>
      <c r="AI50" s="56" t="str">
        <f>IF(AND('Mapa final'!$AA$34="Muy Baja",'Mapa final'!$AC$34="Catastrófico"),CONCATENATE("R5C",'Mapa final'!$Q$34),"")</f>
        <v/>
      </c>
      <c r="AJ50" s="56" t="str">
        <f>IF(AND('Mapa final'!$AA$35="Muy Baja",'Mapa final'!$AC$35="Catastrófico"),CONCATENATE("R5C",'Mapa final'!$Q$35),"")</f>
        <v/>
      </c>
      <c r="AK50" s="56" t="str">
        <f>IF(AND('Mapa final'!$AA$36="Muy Baja",'Mapa final'!$AC$36="Catastrófico"),CONCATENATE("R5C",'Mapa final'!$Q$36),"")</f>
        <v/>
      </c>
      <c r="AL50" s="56" t="str">
        <f>IF(AND('Mapa final'!$AA$37="Muy Baja",'Mapa final'!$AC$37="Catastrófico"),CONCATENATE("R5C",'Mapa final'!$Q$37),"")</f>
        <v/>
      </c>
      <c r="AM50" s="57" t="str">
        <f>IF(AND('Mapa final'!$AA$38="Muy Baja",'Mapa final'!$AC$38="Catastrófico"),CONCATENATE("R5C",'Mapa final'!$Q$38),"")</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82"/>
      <c r="C51" s="282"/>
      <c r="D51" s="283"/>
      <c r="E51" s="383"/>
      <c r="F51" s="384"/>
      <c r="G51" s="384"/>
      <c r="H51" s="384"/>
      <c r="I51" s="399"/>
      <c r="J51" s="77" t="str">
        <f>IF(AND('Mapa final'!$AA$39="Muy Baja",'Mapa final'!$AC$39="Leve"),CONCATENATE("R6C",'Mapa final'!$Q$39),"")</f>
        <v/>
      </c>
      <c r="K51" s="78" t="str">
        <f>IF(AND('Mapa final'!$AA$40="Muy Baja",'Mapa final'!$AC$40="Leve"),CONCATENATE("R6C",'Mapa final'!$Q$40),"")</f>
        <v/>
      </c>
      <c r="L51" s="78" t="str">
        <f>IF(AND('Mapa final'!$AA$41="Muy Baja",'Mapa final'!$AC$41="Leve"),CONCATENATE("R6C",'Mapa final'!$Q$41),"")</f>
        <v/>
      </c>
      <c r="M51" s="78" t="str">
        <f>IF(AND('Mapa final'!$AA$42="Muy Baja",'Mapa final'!$AC$42="Leve"),CONCATENATE("R6C",'Mapa final'!$Q$42),"")</f>
        <v/>
      </c>
      <c r="N51" s="78" t="str">
        <f>IF(AND('Mapa final'!$AA$43="Muy Baja",'Mapa final'!$AC$43="Leve"),CONCATENATE("R6C",'Mapa final'!$Q$43),"")</f>
        <v/>
      </c>
      <c r="O51" s="79" t="str">
        <f>IF(AND('Mapa final'!$AA$44="Muy Baja",'Mapa final'!$AC$44="Leve"),CONCATENATE("R6C",'Mapa final'!$Q$44),"")</f>
        <v/>
      </c>
      <c r="P51" s="77" t="str">
        <f>IF(AND('Mapa final'!$AA$39="Muy Baja",'Mapa final'!$AC$39="Menor"),CONCATENATE("R6C",'Mapa final'!$Q$39),"")</f>
        <v/>
      </c>
      <c r="Q51" s="78" t="str">
        <f>IF(AND('Mapa final'!$AA$40="Muy Baja",'Mapa final'!$AC$40="Menor"),CONCATENATE("R6C",'Mapa final'!$Q$40),"")</f>
        <v/>
      </c>
      <c r="R51" s="78" t="str">
        <f>IF(AND('Mapa final'!$AA$41="Muy Baja",'Mapa final'!$AC$41="Menor"),CONCATENATE("R6C",'Mapa final'!$Q$41),"")</f>
        <v/>
      </c>
      <c r="S51" s="78" t="str">
        <f>IF(AND('Mapa final'!$AA$42="Muy Baja",'Mapa final'!$AC$42="Menor"),CONCATENATE("R6C",'Mapa final'!$Q$42),"")</f>
        <v/>
      </c>
      <c r="T51" s="78" t="str">
        <f>IF(AND('Mapa final'!$AA$43="Muy Baja",'Mapa final'!$AC$43="Menor"),CONCATENATE("R6C",'Mapa final'!$Q$43),"")</f>
        <v/>
      </c>
      <c r="U51" s="79" t="str">
        <f>IF(AND('Mapa final'!$AA$44="Muy Baja",'Mapa final'!$AC$44="Menor"),CONCATENATE("R6C",'Mapa final'!$Q$44),"")</f>
        <v/>
      </c>
      <c r="V51" s="68" t="str">
        <f>IF(AND('Mapa final'!$AA$39="Muy Baja",'Mapa final'!$AC$39="Moderado"),CONCATENATE("R6C",'Mapa final'!$Q$39),"")</f>
        <v/>
      </c>
      <c r="W51" s="69" t="str">
        <f>IF(AND('Mapa final'!$AA$40="Muy Baja",'Mapa final'!$AC$40="Moderado"),CONCATENATE("R6C",'Mapa final'!$Q$40),"")</f>
        <v/>
      </c>
      <c r="X51" s="69" t="str">
        <f>IF(AND('Mapa final'!$AA$41="Muy Baja",'Mapa final'!$AC$41="Moderado"),CONCATENATE("R6C",'Mapa final'!$Q$41),"")</f>
        <v/>
      </c>
      <c r="Y51" s="69" t="str">
        <f>IF(AND('Mapa final'!$AA$42="Muy Baja",'Mapa final'!$AC$42="Moderado"),CONCATENATE("R6C",'Mapa final'!$Q$42),"")</f>
        <v/>
      </c>
      <c r="Z51" s="69" t="str">
        <f>IF(AND('Mapa final'!$AA$43="Muy Baja",'Mapa final'!$AC$43="Moderado"),CONCATENATE("R6C",'Mapa final'!$Q$43),"")</f>
        <v/>
      </c>
      <c r="AA51" s="70" t="str">
        <f>IF(AND('Mapa final'!$AA$44="Muy Baja",'Mapa final'!$AC$44="Moderado"),CONCATENATE("R6C",'Mapa final'!$Q$44),"")</f>
        <v/>
      </c>
      <c r="AB51" s="52" t="str">
        <f>IF(AND('Mapa final'!$AA$39="Muy Baja",'Mapa final'!$AC$39="Mayor"),CONCATENATE("R6C",'Mapa final'!$Q$39),"")</f>
        <v/>
      </c>
      <c r="AC51" s="53" t="str">
        <f>IF(AND('Mapa final'!$AA$40="Muy Baja",'Mapa final'!$AC$40="Mayor"),CONCATENATE("R6C",'Mapa final'!$Q$40),"")</f>
        <v/>
      </c>
      <c r="AD51" s="58" t="str">
        <f>IF(AND('Mapa final'!$AA$41="Muy Baja",'Mapa final'!$AC$41="Mayor"),CONCATENATE("R6C",'Mapa final'!$Q$41),"")</f>
        <v/>
      </c>
      <c r="AE51" s="58" t="str">
        <f>IF(AND('Mapa final'!$AA$42="Muy Baja",'Mapa final'!$AC$42="Mayor"),CONCATENATE("R6C",'Mapa final'!$Q$42),"")</f>
        <v/>
      </c>
      <c r="AF51" s="58" t="str">
        <f>IF(AND('Mapa final'!$AA$43="Muy Baja",'Mapa final'!$AC$43="Mayor"),CONCATENATE("R6C",'Mapa final'!$Q$43),"")</f>
        <v/>
      </c>
      <c r="AG51" s="54" t="str">
        <f>IF(AND('Mapa final'!$AA$44="Muy Baja",'Mapa final'!$AC$44="Mayor"),CONCATENATE("R6C",'Mapa final'!$Q$44),"")</f>
        <v/>
      </c>
      <c r="AH51" s="55" t="str">
        <f>IF(AND('Mapa final'!$AA$39="Muy Baja",'Mapa final'!$AC$39="Catastrófico"),CONCATENATE("R6C",'Mapa final'!$Q$39),"")</f>
        <v/>
      </c>
      <c r="AI51" s="56" t="str">
        <f>IF(AND('Mapa final'!$AA$40="Muy Baja",'Mapa final'!$AC$40="Catastrófico"),CONCATENATE("R6C",'Mapa final'!$Q$40),"")</f>
        <v/>
      </c>
      <c r="AJ51" s="56" t="str">
        <f>IF(AND('Mapa final'!$AA$41="Muy Baja",'Mapa final'!$AC$41="Catastrófico"),CONCATENATE("R6C",'Mapa final'!$Q$41),"")</f>
        <v/>
      </c>
      <c r="AK51" s="56" t="str">
        <f>IF(AND('Mapa final'!$AA$42="Muy Baja",'Mapa final'!$AC$42="Catastrófico"),CONCATENATE("R6C",'Mapa final'!$Q$42),"")</f>
        <v/>
      </c>
      <c r="AL51" s="56" t="str">
        <f>IF(AND('Mapa final'!$AA$43="Muy Baja",'Mapa final'!$AC$43="Catastrófico"),CONCATENATE("R6C",'Mapa final'!$Q$43),"")</f>
        <v/>
      </c>
      <c r="AM51" s="57" t="str">
        <f>IF(AND('Mapa final'!$AA$44="Muy Baja",'Mapa final'!$AC$44="Catastrófico"),CONCATENATE("R6C",'Mapa final'!$Q$44),"")</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82"/>
      <c r="C52" s="282"/>
      <c r="D52" s="283"/>
      <c r="E52" s="383"/>
      <c r="F52" s="384"/>
      <c r="G52" s="384"/>
      <c r="H52" s="384"/>
      <c r="I52" s="399"/>
      <c r="J52" s="77" t="str">
        <f>IF(AND('Mapa final'!$AA$45="Muy Baja",'Mapa final'!$AC$45="Leve"),CONCATENATE("R7C",'Mapa final'!$Q$45),"")</f>
        <v/>
      </c>
      <c r="K52" s="78" t="str">
        <f>IF(AND('Mapa final'!$AA$46="Muy Baja",'Mapa final'!$AC$46="Leve"),CONCATENATE("R7C",'Mapa final'!$Q$46),"")</f>
        <v/>
      </c>
      <c r="L52" s="78" t="str">
        <f>IF(AND('Mapa final'!$AA$47="Muy Baja",'Mapa final'!$AC$47="Leve"),CONCATENATE("R7C",'Mapa final'!$Q$47),"")</f>
        <v/>
      </c>
      <c r="M52" s="78" t="str">
        <f>IF(AND('Mapa final'!$AA$48="Muy Baja",'Mapa final'!$AC$48="Leve"),CONCATENATE("R7C",'Mapa final'!$Q$48),"")</f>
        <v/>
      </c>
      <c r="N52" s="78" t="str">
        <f>IF(AND('Mapa final'!$AA$49="Muy Baja",'Mapa final'!$AC$49="Leve"),CONCATENATE("R7C",'Mapa final'!$Q$49),"")</f>
        <v/>
      </c>
      <c r="O52" s="79" t="str">
        <f>IF(AND('Mapa final'!$AA$50="Muy Baja",'Mapa final'!$AC$50="Leve"),CONCATENATE("R7C",'Mapa final'!$Q$50),"")</f>
        <v/>
      </c>
      <c r="P52" s="77" t="str">
        <f>IF(AND('Mapa final'!$AA$45="Muy Baja",'Mapa final'!$AC$45="Menor"),CONCATENATE("R7C",'Mapa final'!$Q$45),"")</f>
        <v/>
      </c>
      <c r="Q52" s="78" t="str">
        <f>IF(AND('Mapa final'!$AA$46="Muy Baja",'Mapa final'!$AC$46="Menor"),CONCATENATE("R7C",'Mapa final'!$Q$46),"")</f>
        <v/>
      </c>
      <c r="R52" s="78" t="str">
        <f>IF(AND('Mapa final'!$AA$47="Muy Baja",'Mapa final'!$AC$47="Menor"),CONCATENATE("R7C",'Mapa final'!$Q$47),"")</f>
        <v/>
      </c>
      <c r="S52" s="78" t="str">
        <f>IF(AND('Mapa final'!$AA$48="Muy Baja",'Mapa final'!$AC$48="Menor"),CONCATENATE("R7C",'Mapa final'!$Q$48),"")</f>
        <v/>
      </c>
      <c r="T52" s="78" t="str">
        <f>IF(AND('Mapa final'!$AA$49="Muy Baja",'Mapa final'!$AC$49="Menor"),CONCATENATE("R7C",'Mapa final'!$Q$49),"")</f>
        <v/>
      </c>
      <c r="U52" s="79" t="str">
        <f>IF(AND('Mapa final'!$AA$50="Muy Baja",'Mapa final'!$AC$50="Menor"),CONCATENATE("R7C",'Mapa final'!$Q$50),"")</f>
        <v/>
      </c>
      <c r="V52" s="68" t="str">
        <f>IF(AND('Mapa final'!$AA$45="Muy Baja",'Mapa final'!$AC$45="Moderado"),CONCATENATE("R7C",'Mapa final'!$Q$45),"")</f>
        <v/>
      </c>
      <c r="W52" s="69" t="str">
        <f>IF(AND('Mapa final'!$AA$46="Muy Baja",'Mapa final'!$AC$46="Moderado"),CONCATENATE("R7C",'Mapa final'!$Q$46),"")</f>
        <v/>
      </c>
      <c r="X52" s="69" t="str">
        <f>IF(AND('Mapa final'!$AA$47="Muy Baja",'Mapa final'!$AC$47="Moderado"),CONCATENATE("R7C",'Mapa final'!$Q$47),"")</f>
        <v/>
      </c>
      <c r="Y52" s="69" t="str">
        <f>IF(AND('Mapa final'!$AA$48="Muy Baja",'Mapa final'!$AC$48="Moderado"),CONCATENATE("R7C",'Mapa final'!$Q$48),"")</f>
        <v/>
      </c>
      <c r="Z52" s="69" t="str">
        <f>IF(AND('Mapa final'!$AA$49="Muy Baja",'Mapa final'!$AC$49="Moderado"),CONCATENATE("R7C",'Mapa final'!$Q$49),"")</f>
        <v/>
      </c>
      <c r="AA52" s="70" t="str">
        <f>IF(AND('Mapa final'!$AA$50="Muy Baja",'Mapa final'!$AC$50="Moderado"),CONCATENATE("R7C",'Mapa final'!$Q$50),"")</f>
        <v/>
      </c>
      <c r="AB52" s="52" t="str">
        <f>IF(AND('Mapa final'!$AA$45="Muy Baja",'Mapa final'!$AC$45="Mayor"),CONCATENATE("R7C",'Mapa final'!$Q$45),"")</f>
        <v/>
      </c>
      <c r="AC52" s="53" t="str">
        <f>IF(AND('Mapa final'!$AA$46="Muy Baja",'Mapa final'!$AC$46="Mayor"),CONCATENATE("R7C",'Mapa final'!$Q$46),"")</f>
        <v/>
      </c>
      <c r="AD52" s="58" t="str">
        <f>IF(AND('Mapa final'!$AA$47="Muy Baja",'Mapa final'!$AC$47="Mayor"),CONCATENATE("R7C",'Mapa final'!$Q$47),"")</f>
        <v/>
      </c>
      <c r="AE52" s="58" t="str">
        <f>IF(AND('Mapa final'!$AA$48="Muy Baja",'Mapa final'!$AC$48="Mayor"),CONCATENATE("R7C",'Mapa final'!$Q$48),"")</f>
        <v/>
      </c>
      <c r="AF52" s="58" t="str">
        <f>IF(AND('Mapa final'!$AA$49="Muy Baja",'Mapa final'!$AC$49="Mayor"),CONCATENATE("R7C",'Mapa final'!$Q$49),"")</f>
        <v/>
      </c>
      <c r="AG52" s="54" t="str">
        <f>IF(AND('Mapa final'!$AA$50="Muy Baja",'Mapa final'!$AC$50="Mayor"),CONCATENATE("R7C",'Mapa final'!$Q$50),"")</f>
        <v/>
      </c>
      <c r="AH52" s="55" t="str">
        <f>IF(AND('Mapa final'!$AA$45="Muy Baja",'Mapa final'!$AC$45="Catastrófico"),CONCATENATE("R7C",'Mapa final'!$Q$45),"")</f>
        <v/>
      </c>
      <c r="AI52" s="56" t="str">
        <f>IF(AND('Mapa final'!$AA$46="Muy Baja",'Mapa final'!$AC$46="Catastrófico"),CONCATENATE("R7C",'Mapa final'!$Q$46),"")</f>
        <v/>
      </c>
      <c r="AJ52" s="56" t="str">
        <f>IF(AND('Mapa final'!$AA$47="Muy Baja",'Mapa final'!$AC$47="Catastrófico"),CONCATENATE("R7C",'Mapa final'!$Q$47),"")</f>
        <v/>
      </c>
      <c r="AK52" s="56" t="str">
        <f>IF(AND('Mapa final'!$AA$48="Muy Baja",'Mapa final'!$AC$48="Catastrófico"),CONCATENATE("R7C",'Mapa final'!$Q$48),"")</f>
        <v/>
      </c>
      <c r="AL52" s="56" t="str">
        <f>IF(AND('Mapa final'!$AA$49="Muy Baja",'Mapa final'!$AC$49="Catastrófico"),CONCATENATE("R7C",'Mapa final'!$Q$49),"")</f>
        <v/>
      </c>
      <c r="AM52" s="57" t="str">
        <f>IF(AND('Mapa final'!$AA$50="Muy Baja",'Mapa final'!$AC$50="Catastrófico"),CONCATENATE("R7C",'Mapa final'!$Q$50),"")</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82"/>
      <c r="C53" s="282"/>
      <c r="D53" s="283"/>
      <c r="E53" s="383"/>
      <c r="F53" s="384"/>
      <c r="G53" s="384"/>
      <c r="H53" s="384"/>
      <c r="I53" s="399"/>
      <c r="J53" s="77" t="str">
        <f>IF(AND('Mapa final'!$AA$51="Muy Baja",'Mapa final'!$AC$51="Leve"),CONCATENATE("R8C",'Mapa final'!$Q$51),"")</f>
        <v/>
      </c>
      <c r="K53" s="78" t="str">
        <f>IF(AND('Mapa final'!$AA$52="Muy Baja",'Mapa final'!$AC$52="Leve"),CONCATENATE("R8C",'Mapa final'!$Q$52),"")</f>
        <v/>
      </c>
      <c r="L53" s="78" t="str">
        <f>IF(AND('Mapa final'!$AA$53="Muy Baja",'Mapa final'!$AC$53="Leve"),CONCATENATE("R8C",'Mapa final'!$Q$53),"")</f>
        <v/>
      </c>
      <c r="M53" s="78" t="str">
        <f>IF(AND('Mapa final'!$AA$54="Muy Baja",'Mapa final'!$AC$54="Leve"),CONCATENATE("R8C",'Mapa final'!$Q$54),"")</f>
        <v/>
      </c>
      <c r="N53" s="78" t="str">
        <f>IF(AND('Mapa final'!$AA$55="Muy Baja",'Mapa final'!$AC$55="Leve"),CONCATENATE("R8C",'Mapa final'!$Q$55),"")</f>
        <v/>
      </c>
      <c r="O53" s="79" t="str">
        <f>IF(AND('Mapa final'!$AA$56="Muy Baja",'Mapa final'!$AC$56="Leve"),CONCATENATE("R8C",'Mapa final'!$Q$56),"")</f>
        <v/>
      </c>
      <c r="P53" s="77" t="str">
        <f>IF(AND('Mapa final'!$AA$51="Muy Baja",'Mapa final'!$AC$51="Menor"),CONCATENATE("R8C",'Mapa final'!$Q$51),"")</f>
        <v/>
      </c>
      <c r="Q53" s="78" t="str">
        <f>IF(AND('Mapa final'!$AA$52="Muy Baja",'Mapa final'!$AC$52="Menor"),CONCATENATE("R8C",'Mapa final'!$Q$52),"")</f>
        <v/>
      </c>
      <c r="R53" s="78" t="str">
        <f>IF(AND('Mapa final'!$AA$53="Muy Baja",'Mapa final'!$AC$53="Menor"),CONCATENATE("R8C",'Mapa final'!$Q$53),"")</f>
        <v/>
      </c>
      <c r="S53" s="78" t="str">
        <f>IF(AND('Mapa final'!$AA$54="Muy Baja",'Mapa final'!$AC$54="Menor"),CONCATENATE("R8C",'Mapa final'!$Q$54),"")</f>
        <v/>
      </c>
      <c r="T53" s="78" t="str">
        <f>IF(AND('Mapa final'!$AA$55="Muy Baja",'Mapa final'!$AC$55="Menor"),CONCATENATE("R8C",'Mapa final'!$Q$55),"")</f>
        <v/>
      </c>
      <c r="U53" s="79" t="str">
        <f>IF(AND('Mapa final'!$AA$56="Muy Baja",'Mapa final'!$AC$56="Menor"),CONCATENATE("R8C",'Mapa final'!$Q$56),"")</f>
        <v/>
      </c>
      <c r="V53" s="68" t="str">
        <f>IF(AND('Mapa final'!$AA$51="Muy Baja",'Mapa final'!$AC$51="Moderado"),CONCATENATE("R8C",'Mapa final'!$Q$51),"")</f>
        <v/>
      </c>
      <c r="W53" s="69" t="str">
        <f>IF(AND('Mapa final'!$AA$52="Muy Baja",'Mapa final'!$AC$52="Moderado"),CONCATENATE("R8C",'Mapa final'!$Q$52),"")</f>
        <v/>
      </c>
      <c r="X53" s="69" t="str">
        <f>IF(AND('Mapa final'!$AA$53="Muy Baja",'Mapa final'!$AC$53="Moderado"),CONCATENATE("R8C",'Mapa final'!$Q$53),"")</f>
        <v/>
      </c>
      <c r="Y53" s="69" t="str">
        <f>IF(AND('Mapa final'!$AA$54="Muy Baja",'Mapa final'!$AC$54="Moderado"),CONCATENATE("R8C",'Mapa final'!$Q$54),"")</f>
        <v/>
      </c>
      <c r="Z53" s="69" t="str">
        <f>IF(AND('Mapa final'!$AA$55="Muy Baja",'Mapa final'!$AC$55="Moderado"),CONCATENATE("R8C",'Mapa final'!$Q$55),"")</f>
        <v/>
      </c>
      <c r="AA53" s="70" t="str">
        <f>IF(AND('Mapa final'!$AA$56="Muy Baja",'Mapa final'!$AC$56="Moderado"),CONCATENATE("R8C",'Mapa final'!$Q$56),"")</f>
        <v/>
      </c>
      <c r="AB53" s="52" t="str">
        <f>IF(AND('Mapa final'!$AA$51="Muy Baja",'Mapa final'!$AC$51="Mayor"),CONCATENATE("R8C",'Mapa final'!$Q$51),"")</f>
        <v/>
      </c>
      <c r="AC53" s="53" t="str">
        <f>IF(AND('Mapa final'!$AA$52="Muy Baja",'Mapa final'!$AC$52="Mayor"),CONCATENATE("R8C",'Mapa final'!$Q$52),"")</f>
        <v/>
      </c>
      <c r="AD53" s="58" t="str">
        <f>IF(AND('Mapa final'!$AA$53="Muy Baja",'Mapa final'!$AC$53="Mayor"),CONCATENATE("R8C",'Mapa final'!$Q$53),"")</f>
        <v/>
      </c>
      <c r="AE53" s="58" t="str">
        <f>IF(AND('Mapa final'!$AA$54="Muy Baja",'Mapa final'!$AC$54="Mayor"),CONCATENATE("R8C",'Mapa final'!$Q$54),"")</f>
        <v/>
      </c>
      <c r="AF53" s="58" t="str">
        <f>IF(AND('Mapa final'!$AA$55="Muy Baja",'Mapa final'!$AC$55="Mayor"),CONCATENATE("R8C",'Mapa final'!$Q$55),"")</f>
        <v/>
      </c>
      <c r="AG53" s="54" t="str">
        <f>IF(AND('Mapa final'!$AA$56="Muy Baja",'Mapa final'!$AC$56="Mayor"),CONCATENATE("R8C",'Mapa final'!$Q$56),"")</f>
        <v/>
      </c>
      <c r="AH53" s="55" t="str">
        <f>IF(AND('Mapa final'!$AA$51="Muy Baja",'Mapa final'!$AC$51="Catastrófico"),CONCATENATE("R8C",'Mapa final'!$Q$51),"")</f>
        <v/>
      </c>
      <c r="AI53" s="56" t="str">
        <f>IF(AND('Mapa final'!$AA$52="Muy Baja",'Mapa final'!$AC$52="Catastrófico"),CONCATENATE("R8C",'Mapa final'!$Q$52),"")</f>
        <v/>
      </c>
      <c r="AJ53" s="56" t="str">
        <f>IF(AND('Mapa final'!$AA$53="Muy Baja",'Mapa final'!$AC$53="Catastrófico"),CONCATENATE("R8C",'Mapa final'!$Q$53),"")</f>
        <v/>
      </c>
      <c r="AK53" s="56" t="str">
        <f>IF(AND('Mapa final'!$AA$54="Muy Baja",'Mapa final'!$AC$54="Catastrófico"),CONCATENATE("R8C",'Mapa final'!$Q$54),"")</f>
        <v/>
      </c>
      <c r="AL53" s="56" t="str">
        <f>IF(AND('Mapa final'!$AA$55="Muy Baja",'Mapa final'!$AC$55="Catastrófico"),CONCATENATE("R8C",'Mapa final'!$Q$55),"")</f>
        <v/>
      </c>
      <c r="AM53" s="57" t="str">
        <f>IF(AND('Mapa final'!$AA$56="Muy Baja",'Mapa final'!$AC$56="Catastrófico"),CONCATENATE("R8C",'Mapa final'!$Q$56),"")</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82"/>
      <c r="C54" s="282"/>
      <c r="D54" s="283"/>
      <c r="E54" s="383"/>
      <c r="F54" s="384"/>
      <c r="G54" s="384"/>
      <c r="H54" s="384"/>
      <c r="I54" s="399"/>
      <c r="J54" s="77" t="str">
        <f>IF(AND('Mapa final'!$AA$57="Muy Baja",'Mapa final'!$AC$57="Leve"),CONCATENATE("R9C",'Mapa final'!$Q$57),"")</f>
        <v/>
      </c>
      <c r="K54" s="78" t="str">
        <f>IF(AND('Mapa final'!$AA$58="Muy Baja",'Mapa final'!$AC$58="Leve"),CONCATENATE("R9C",'Mapa final'!$Q$58),"")</f>
        <v/>
      </c>
      <c r="L54" s="78" t="str">
        <f>IF(AND('Mapa final'!$AA$59="Muy Baja",'Mapa final'!$AC$59="Leve"),CONCATENATE("R9C",'Mapa final'!$Q$59),"")</f>
        <v/>
      </c>
      <c r="M54" s="78" t="str">
        <f>IF(AND('Mapa final'!$AA$60="Muy Baja",'Mapa final'!$AC$60="Leve"),CONCATENATE("R9C",'Mapa final'!$Q$60),"")</f>
        <v/>
      </c>
      <c r="N54" s="78" t="str">
        <f>IF(AND('Mapa final'!$AA$61="Muy Baja",'Mapa final'!$AC$61="Leve"),CONCATENATE("R9C",'Mapa final'!$Q$61),"")</f>
        <v/>
      </c>
      <c r="O54" s="79" t="str">
        <f>IF(AND('Mapa final'!$AA$62="Muy Baja",'Mapa final'!$AC$62="Leve"),CONCATENATE("R9C",'Mapa final'!$Q$62),"")</f>
        <v/>
      </c>
      <c r="P54" s="77" t="str">
        <f>IF(AND('Mapa final'!$AA$57="Muy Baja",'Mapa final'!$AC$57="Menor"),CONCATENATE("R9C",'Mapa final'!$Q$57),"")</f>
        <v/>
      </c>
      <c r="Q54" s="78" t="str">
        <f>IF(AND('Mapa final'!$AA$58="Muy Baja",'Mapa final'!$AC$58="Menor"),CONCATENATE("R9C",'Mapa final'!$Q$58),"")</f>
        <v/>
      </c>
      <c r="R54" s="78" t="str">
        <f>IF(AND('Mapa final'!$AA$59="Muy Baja",'Mapa final'!$AC$59="Menor"),CONCATENATE("R9C",'Mapa final'!$Q$59),"")</f>
        <v/>
      </c>
      <c r="S54" s="78" t="str">
        <f>IF(AND('Mapa final'!$AA$60="Muy Baja",'Mapa final'!$AC$60="Menor"),CONCATENATE("R9C",'Mapa final'!$Q$60),"")</f>
        <v/>
      </c>
      <c r="T54" s="78" t="str">
        <f>IF(AND('Mapa final'!$AA$61="Muy Baja",'Mapa final'!$AC$61="Menor"),CONCATENATE("R9C",'Mapa final'!$Q$61),"")</f>
        <v/>
      </c>
      <c r="U54" s="79" t="str">
        <f>IF(AND('Mapa final'!$AA$62="Muy Baja",'Mapa final'!$AC$62="Menor"),CONCATENATE("R9C",'Mapa final'!$Q$62),"")</f>
        <v/>
      </c>
      <c r="V54" s="68" t="str">
        <f>IF(AND('Mapa final'!$AA$57="Muy Baja",'Mapa final'!$AC$57="Moderado"),CONCATENATE("R9C",'Mapa final'!$Q$57),"")</f>
        <v/>
      </c>
      <c r="W54" s="69" t="str">
        <f>IF(AND('Mapa final'!$AA$58="Muy Baja",'Mapa final'!$AC$58="Moderado"),CONCATENATE("R9C",'Mapa final'!$Q$58),"")</f>
        <v/>
      </c>
      <c r="X54" s="69" t="str">
        <f>IF(AND('Mapa final'!$AA$59="Muy Baja",'Mapa final'!$AC$59="Moderado"),CONCATENATE("R9C",'Mapa final'!$Q$59),"")</f>
        <v/>
      </c>
      <c r="Y54" s="69" t="str">
        <f>IF(AND('Mapa final'!$AA$60="Muy Baja",'Mapa final'!$AC$60="Moderado"),CONCATENATE("R9C",'Mapa final'!$Q$60),"")</f>
        <v/>
      </c>
      <c r="Z54" s="69" t="str">
        <f>IF(AND('Mapa final'!$AA$61="Muy Baja",'Mapa final'!$AC$61="Moderado"),CONCATENATE("R9C",'Mapa final'!$Q$61),"")</f>
        <v/>
      </c>
      <c r="AA54" s="70" t="str">
        <f>IF(AND('Mapa final'!$AA$62="Muy Baja",'Mapa final'!$AC$62="Moderado"),CONCATENATE("R9C",'Mapa final'!$Q$62),"")</f>
        <v/>
      </c>
      <c r="AB54" s="52" t="str">
        <f>IF(AND('Mapa final'!$AA$57="Muy Baja",'Mapa final'!$AC$57="Mayor"),CONCATENATE("R9C",'Mapa final'!$Q$57),"")</f>
        <v/>
      </c>
      <c r="AC54" s="53" t="str">
        <f>IF(AND('Mapa final'!$AA$58="Muy Baja",'Mapa final'!$AC$58="Mayor"),CONCATENATE("R9C",'Mapa final'!$Q$58),"")</f>
        <v/>
      </c>
      <c r="AD54" s="58" t="str">
        <f>IF(AND('Mapa final'!$AA$59="Muy Baja",'Mapa final'!$AC$59="Mayor"),CONCATENATE("R9C",'Mapa final'!$Q$59),"")</f>
        <v/>
      </c>
      <c r="AE54" s="58" t="str">
        <f>IF(AND('Mapa final'!$AA$60="Muy Baja",'Mapa final'!$AC$60="Mayor"),CONCATENATE("R9C",'Mapa final'!$Q$60),"")</f>
        <v/>
      </c>
      <c r="AF54" s="58" t="str">
        <f>IF(AND('Mapa final'!$AA$61="Muy Baja",'Mapa final'!$AC$61="Mayor"),CONCATENATE("R9C",'Mapa final'!$Q$61),"")</f>
        <v/>
      </c>
      <c r="AG54" s="54" t="str">
        <f>IF(AND('Mapa final'!$AA$62="Muy Baja",'Mapa final'!$AC$62="Mayor"),CONCATENATE("R9C",'Mapa final'!$Q$62),"")</f>
        <v/>
      </c>
      <c r="AH54" s="55" t="str">
        <f>IF(AND('Mapa final'!$AA$57="Muy Baja",'Mapa final'!$AC$57="Catastrófico"),CONCATENATE("R9C",'Mapa final'!$Q$57),"")</f>
        <v/>
      </c>
      <c r="AI54" s="56" t="str">
        <f>IF(AND('Mapa final'!$AA$58="Muy Baja",'Mapa final'!$AC$58="Catastrófico"),CONCATENATE("R9C",'Mapa final'!$Q$58),"")</f>
        <v/>
      </c>
      <c r="AJ54" s="56" t="str">
        <f>IF(AND('Mapa final'!$AA$59="Muy Baja",'Mapa final'!$AC$59="Catastrófico"),CONCATENATE("R9C",'Mapa final'!$Q$59),"")</f>
        <v/>
      </c>
      <c r="AK54" s="56" t="str">
        <f>IF(AND('Mapa final'!$AA$60="Muy Baja",'Mapa final'!$AC$60="Catastrófico"),CONCATENATE("R9C",'Mapa final'!$Q$60),"")</f>
        <v/>
      </c>
      <c r="AL54" s="56" t="str">
        <f>IF(AND('Mapa final'!$AA$61="Muy Baja",'Mapa final'!$AC$61="Catastrófico"),CONCATENATE("R9C",'Mapa final'!$Q$61),"")</f>
        <v/>
      </c>
      <c r="AM54" s="57" t="str">
        <f>IF(AND('Mapa final'!$AA$62="Muy Baja",'Mapa final'!$AC$62="Catastrófico"),CONCATENATE("R9C",'Mapa final'!$Q$62),"")</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82"/>
      <c r="C55" s="282"/>
      <c r="D55" s="283"/>
      <c r="E55" s="385"/>
      <c r="F55" s="386"/>
      <c r="G55" s="386"/>
      <c r="H55" s="386"/>
      <c r="I55" s="400"/>
      <c r="J55" s="80" t="str">
        <f>IF(AND('Mapa final'!$AA$63="Muy Baja",'Mapa final'!$AC$63="Leve"),CONCATENATE("R10C",'Mapa final'!$Q$63),"")</f>
        <v/>
      </c>
      <c r="K55" s="81" t="str">
        <f>IF(AND('Mapa final'!$AA$64="Muy Baja",'Mapa final'!$AC$64="Leve"),CONCATENATE("R10C",'Mapa final'!$Q$64),"")</f>
        <v/>
      </c>
      <c r="L55" s="81" t="str">
        <f>IF(AND('Mapa final'!$AA$65="Muy Baja",'Mapa final'!$AC$65="Leve"),CONCATENATE("R10C",'Mapa final'!$Q$65),"")</f>
        <v/>
      </c>
      <c r="M55" s="81" t="str">
        <f>IF(AND('Mapa final'!$AA$66="Muy Baja",'Mapa final'!$AC$66="Leve"),CONCATENATE("R10C",'Mapa final'!$Q$66),"")</f>
        <v/>
      </c>
      <c r="N55" s="81" t="str">
        <f>IF(AND('Mapa final'!$AA$67="Muy Baja",'Mapa final'!$AC$67="Leve"),CONCATENATE("R10C",'Mapa final'!$Q$67),"")</f>
        <v/>
      </c>
      <c r="O55" s="82" t="str">
        <f>IF(AND('Mapa final'!$AA$68="Muy Baja",'Mapa final'!$AC$68="Leve"),CONCATENATE("R10C",'Mapa final'!$Q$68),"")</f>
        <v/>
      </c>
      <c r="P55" s="80" t="str">
        <f>IF(AND('Mapa final'!$AA$63="Muy Baja",'Mapa final'!$AC$63="Menor"),CONCATENATE("R10C",'Mapa final'!$Q$63),"")</f>
        <v/>
      </c>
      <c r="Q55" s="81" t="str">
        <f>IF(AND('Mapa final'!$AA$64="Muy Baja",'Mapa final'!$AC$64="Menor"),CONCATENATE("R10C",'Mapa final'!$Q$64),"")</f>
        <v/>
      </c>
      <c r="R55" s="81" t="str">
        <f>IF(AND('Mapa final'!$AA$65="Muy Baja",'Mapa final'!$AC$65="Menor"),CONCATENATE("R10C",'Mapa final'!$Q$65),"")</f>
        <v/>
      </c>
      <c r="S55" s="81" t="str">
        <f>IF(AND('Mapa final'!$AA$66="Muy Baja",'Mapa final'!$AC$66="Menor"),CONCATENATE("R10C",'Mapa final'!$Q$66),"")</f>
        <v/>
      </c>
      <c r="T55" s="81" t="str">
        <f>IF(AND('Mapa final'!$AA$67="Muy Baja",'Mapa final'!$AC$67="Menor"),CONCATENATE("R10C",'Mapa final'!$Q$67),"")</f>
        <v/>
      </c>
      <c r="U55" s="82" t="str">
        <f>IF(AND('Mapa final'!$AA$68="Muy Baja",'Mapa final'!$AC$68="Menor"),CONCATENATE("R10C",'Mapa final'!$Q$68),"")</f>
        <v/>
      </c>
      <c r="V55" s="71" t="str">
        <f>IF(AND('Mapa final'!$AA$63="Muy Baja",'Mapa final'!$AC$63="Moderado"),CONCATENATE("R10C",'Mapa final'!$Q$63),"")</f>
        <v/>
      </c>
      <c r="W55" s="72" t="str">
        <f>IF(AND('Mapa final'!$AA$64="Muy Baja",'Mapa final'!$AC$64="Moderado"),CONCATENATE("R10C",'Mapa final'!$Q$64),"")</f>
        <v/>
      </c>
      <c r="X55" s="72" t="str">
        <f>IF(AND('Mapa final'!$AA$65="Muy Baja",'Mapa final'!$AC$65="Moderado"),CONCATENATE("R10C",'Mapa final'!$Q$65),"")</f>
        <v/>
      </c>
      <c r="Y55" s="72" t="str">
        <f>IF(AND('Mapa final'!$AA$66="Muy Baja",'Mapa final'!$AC$66="Moderado"),CONCATENATE("R10C",'Mapa final'!$Q$66),"")</f>
        <v/>
      </c>
      <c r="Z55" s="72" t="str">
        <f>IF(AND('Mapa final'!$AA$67="Muy Baja",'Mapa final'!$AC$67="Moderado"),CONCATENATE("R10C",'Mapa final'!$Q$67),"")</f>
        <v/>
      </c>
      <c r="AA55" s="73" t="str">
        <f>IF(AND('Mapa final'!$AA$68="Muy Baja",'Mapa final'!$AC$68="Moderado"),CONCATENATE("R10C",'Mapa final'!$Q$68),"")</f>
        <v/>
      </c>
      <c r="AB55" s="59" t="str">
        <f>IF(AND('Mapa final'!$AA$63="Muy Baja",'Mapa final'!$AC$63="Mayor"),CONCATENATE("R10C",'Mapa final'!$Q$63),"")</f>
        <v/>
      </c>
      <c r="AC55" s="60" t="str">
        <f>IF(AND('Mapa final'!$AA$64="Muy Baja",'Mapa final'!$AC$64="Mayor"),CONCATENATE("R10C",'Mapa final'!$Q$64),"")</f>
        <v/>
      </c>
      <c r="AD55" s="60" t="str">
        <f>IF(AND('Mapa final'!$AA$65="Muy Baja",'Mapa final'!$AC$65="Mayor"),CONCATENATE("R10C",'Mapa final'!$Q$65),"")</f>
        <v/>
      </c>
      <c r="AE55" s="60" t="str">
        <f>IF(AND('Mapa final'!$AA$66="Muy Baja",'Mapa final'!$AC$66="Mayor"),CONCATENATE("R10C",'Mapa final'!$Q$66),"")</f>
        <v/>
      </c>
      <c r="AF55" s="60" t="str">
        <f>IF(AND('Mapa final'!$AA$67="Muy Baja",'Mapa final'!$AC$67="Mayor"),CONCATENATE("R10C",'Mapa final'!$Q$67),"")</f>
        <v/>
      </c>
      <c r="AG55" s="61" t="str">
        <f>IF(AND('Mapa final'!$AA$68="Muy Baja",'Mapa final'!$AC$68="Mayor"),CONCATENATE("R10C",'Mapa final'!$Q$68),"")</f>
        <v/>
      </c>
      <c r="AH55" s="62" t="str">
        <f>IF(AND('Mapa final'!$AA$63="Muy Baja",'Mapa final'!$AC$63="Catastrófico"),CONCATENATE("R10C",'Mapa final'!$Q$63),"")</f>
        <v/>
      </c>
      <c r="AI55" s="63" t="str">
        <f>IF(AND('Mapa final'!$AA$64="Muy Baja",'Mapa final'!$AC$64="Catastrófico"),CONCATENATE("R10C",'Mapa final'!$Q$64),"")</f>
        <v/>
      </c>
      <c r="AJ55" s="63" t="str">
        <f>IF(AND('Mapa final'!$AA$65="Muy Baja",'Mapa final'!$AC$65="Catastrófico"),CONCATENATE("R10C",'Mapa final'!$Q$65),"")</f>
        <v/>
      </c>
      <c r="AK55" s="63" t="str">
        <f>IF(AND('Mapa final'!$AA$66="Muy Baja",'Mapa final'!$AC$66="Catastrófico"),CONCATENATE("R10C",'Mapa final'!$Q$66),"")</f>
        <v/>
      </c>
      <c r="AL55" s="63" t="str">
        <f>IF(AND('Mapa final'!$AA$67="Muy Baja",'Mapa final'!$AC$67="Catastrófico"),CONCATENATE("R10C",'Mapa final'!$Q$67),"")</f>
        <v/>
      </c>
      <c r="AM55" s="64" t="str">
        <f>IF(AND('Mapa final'!$AA$68="Muy Baja",'Mapa final'!$AC$68="Catastrófico"),CONCATENATE("R10C",'Mapa final'!$Q$68),"")</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79" t="s">
        <v>104</v>
      </c>
      <c r="K56" s="380"/>
      <c r="L56" s="380"/>
      <c r="M56" s="380"/>
      <c r="N56" s="380"/>
      <c r="O56" s="398"/>
      <c r="P56" s="379" t="s">
        <v>103</v>
      </c>
      <c r="Q56" s="380"/>
      <c r="R56" s="380"/>
      <c r="S56" s="380"/>
      <c r="T56" s="380"/>
      <c r="U56" s="398"/>
      <c r="V56" s="379" t="s">
        <v>102</v>
      </c>
      <c r="W56" s="380"/>
      <c r="X56" s="380"/>
      <c r="Y56" s="380"/>
      <c r="Z56" s="380"/>
      <c r="AA56" s="398"/>
      <c r="AB56" s="379" t="s">
        <v>101</v>
      </c>
      <c r="AC56" s="419"/>
      <c r="AD56" s="380"/>
      <c r="AE56" s="380"/>
      <c r="AF56" s="380"/>
      <c r="AG56" s="398"/>
      <c r="AH56" s="379" t="s">
        <v>100</v>
      </c>
      <c r="AI56" s="380"/>
      <c r="AJ56" s="380"/>
      <c r="AK56" s="380"/>
      <c r="AL56" s="380"/>
      <c r="AM56" s="398"/>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83"/>
      <c r="K57" s="384"/>
      <c r="L57" s="384"/>
      <c r="M57" s="384"/>
      <c r="N57" s="384"/>
      <c r="O57" s="399"/>
      <c r="P57" s="383"/>
      <c r="Q57" s="384"/>
      <c r="R57" s="384"/>
      <c r="S57" s="384"/>
      <c r="T57" s="384"/>
      <c r="U57" s="399"/>
      <c r="V57" s="383"/>
      <c r="W57" s="384"/>
      <c r="X57" s="384"/>
      <c r="Y57" s="384"/>
      <c r="Z57" s="384"/>
      <c r="AA57" s="399"/>
      <c r="AB57" s="383"/>
      <c r="AC57" s="384"/>
      <c r="AD57" s="384"/>
      <c r="AE57" s="384"/>
      <c r="AF57" s="384"/>
      <c r="AG57" s="399"/>
      <c r="AH57" s="383"/>
      <c r="AI57" s="384"/>
      <c r="AJ57" s="384"/>
      <c r="AK57" s="384"/>
      <c r="AL57" s="384"/>
      <c r="AM57" s="399"/>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83"/>
      <c r="K58" s="384"/>
      <c r="L58" s="384"/>
      <c r="M58" s="384"/>
      <c r="N58" s="384"/>
      <c r="O58" s="399"/>
      <c r="P58" s="383"/>
      <c r="Q58" s="384"/>
      <c r="R58" s="384"/>
      <c r="S58" s="384"/>
      <c r="T58" s="384"/>
      <c r="U58" s="399"/>
      <c r="V58" s="383"/>
      <c r="W58" s="384"/>
      <c r="X58" s="384"/>
      <c r="Y58" s="384"/>
      <c r="Z58" s="384"/>
      <c r="AA58" s="399"/>
      <c r="AB58" s="383"/>
      <c r="AC58" s="384"/>
      <c r="AD58" s="384"/>
      <c r="AE58" s="384"/>
      <c r="AF58" s="384"/>
      <c r="AG58" s="399"/>
      <c r="AH58" s="383"/>
      <c r="AI58" s="384"/>
      <c r="AJ58" s="384"/>
      <c r="AK58" s="384"/>
      <c r="AL58" s="384"/>
      <c r="AM58" s="399"/>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83"/>
      <c r="K59" s="384"/>
      <c r="L59" s="384"/>
      <c r="M59" s="384"/>
      <c r="N59" s="384"/>
      <c r="O59" s="399"/>
      <c r="P59" s="383"/>
      <c r="Q59" s="384"/>
      <c r="R59" s="384"/>
      <c r="S59" s="384"/>
      <c r="T59" s="384"/>
      <c r="U59" s="399"/>
      <c r="V59" s="383"/>
      <c r="W59" s="384"/>
      <c r="X59" s="384"/>
      <c r="Y59" s="384"/>
      <c r="Z59" s="384"/>
      <c r="AA59" s="399"/>
      <c r="AB59" s="383"/>
      <c r="AC59" s="384"/>
      <c r="AD59" s="384"/>
      <c r="AE59" s="384"/>
      <c r="AF59" s="384"/>
      <c r="AG59" s="399"/>
      <c r="AH59" s="383"/>
      <c r="AI59" s="384"/>
      <c r="AJ59" s="384"/>
      <c r="AK59" s="384"/>
      <c r="AL59" s="384"/>
      <c r="AM59" s="399"/>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83"/>
      <c r="K60" s="384"/>
      <c r="L60" s="384"/>
      <c r="M60" s="384"/>
      <c r="N60" s="384"/>
      <c r="O60" s="399"/>
      <c r="P60" s="383"/>
      <c r="Q60" s="384"/>
      <c r="R60" s="384"/>
      <c r="S60" s="384"/>
      <c r="T60" s="384"/>
      <c r="U60" s="399"/>
      <c r="V60" s="383"/>
      <c r="W60" s="384"/>
      <c r="X60" s="384"/>
      <c r="Y60" s="384"/>
      <c r="Z60" s="384"/>
      <c r="AA60" s="399"/>
      <c r="AB60" s="383"/>
      <c r="AC60" s="384"/>
      <c r="AD60" s="384"/>
      <c r="AE60" s="384"/>
      <c r="AF60" s="384"/>
      <c r="AG60" s="399"/>
      <c r="AH60" s="383"/>
      <c r="AI60" s="384"/>
      <c r="AJ60" s="384"/>
      <c r="AK60" s="384"/>
      <c r="AL60" s="384"/>
      <c r="AM60" s="399"/>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85"/>
      <c r="K61" s="386"/>
      <c r="L61" s="386"/>
      <c r="M61" s="386"/>
      <c r="N61" s="386"/>
      <c r="O61" s="400"/>
      <c r="P61" s="385"/>
      <c r="Q61" s="386"/>
      <c r="R61" s="386"/>
      <c r="S61" s="386"/>
      <c r="T61" s="386"/>
      <c r="U61" s="400"/>
      <c r="V61" s="385"/>
      <c r="W61" s="386"/>
      <c r="X61" s="386"/>
      <c r="Y61" s="386"/>
      <c r="Z61" s="386"/>
      <c r="AA61" s="400"/>
      <c r="AB61" s="385"/>
      <c r="AC61" s="386"/>
      <c r="AD61" s="386"/>
      <c r="AE61" s="386"/>
      <c r="AF61" s="386"/>
      <c r="AG61" s="400"/>
      <c r="AH61" s="385"/>
      <c r="AI61" s="386"/>
      <c r="AJ61" s="386"/>
      <c r="AK61" s="386"/>
      <c r="AL61" s="386"/>
      <c r="AM61" s="400"/>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B8" sqref="B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420" t="s">
        <v>53</v>
      </c>
      <c r="C1" s="420"/>
      <c r="D1" s="420"/>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50</v>
      </c>
      <c r="D3" s="12" t="s">
        <v>3</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49</v>
      </c>
      <c r="C4" s="14" t="s">
        <v>206</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51</v>
      </c>
      <c r="C5" s="17" t="s">
        <v>207</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99</v>
      </c>
      <c r="C6" s="17" t="s">
        <v>208</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5</v>
      </c>
      <c r="C7" s="17" t="s">
        <v>209</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52</v>
      </c>
      <c r="C8" s="17" t="s">
        <v>210</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8"/>
  <sheetViews>
    <sheetView zoomScale="60" zoomScaleNormal="60" workbookViewId="0">
      <selection activeCell="A210" sqref="A210"/>
    </sheetView>
  </sheetViews>
  <sheetFormatPr baseColWidth="10" defaultRowHeight="15" x14ac:dyDescent="0.25"/>
  <cols>
    <col min="2" max="2" width="40.42578125" customWidth="1"/>
    <col min="3" max="3" width="74.85546875" customWidth="1"/>
    <col min="4" max="4" width="126.28515625" bestFit="1" customWidth="1"/>
    <col min="5" max="5" width="12.42578125" bestFit="1" customWidth="1"/>
    <col min="6" max="6" width="144.7109375" bestFit="1" customWidth="1"/>
    <col min="7" max="7" width="47.140625" bestFit="1" customWidth="1"/>
    <col min="8" max="8" width="125.140625" bestFit="1" customWidth="1"/>
    <col min="9" max="9" width="146.28515625" bestFit="1" customWidth="1"/>
    <col min="10" max="10" width="52.140625" bestFit="1" customWidth="1"/>
    <col min="11" max="11" width="147.42578125" bestFit="1" customWidth="1"/>
    <col min="12" max="12" width="16.42578125" bestFit="1" customWidth="1"/>
  </cols>
  <sheetData>
    <row r="1" spans="1:21" ht="33.75" x14ac:dyDescent="0.25">
      <c r="A1" s="84"/>
      <c r="B1" s="421" t="s">
        <v>61</v>
      </c>
      <c r="C1" s="421"/>
      <c r="D1" s="421"/>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54</v>
      </c>
      <c r="D3" s="36" t="s">
        <v>55</v>
      </c>
      <c r="E3" s="84"/>
      <c r="F3" s="84"/>
      <c r="G3" s="84"/>
      <c r="H3" s="84"/>
      <c r="I3" s="84"/>
      <c r="J3" s="84"/>
      <c r="K3" s="84"/>
      <c r="L3" s="84"/>
      <c r="M3" s="84"/>
      <c r="N3" s="84"/>
      <c r="O3" s="84"/>
      <c r="P3" s="84"/>
      <c r="Q3" s="84"/>
      <c r="R3" s="84"/>
      <c r="S3" s="84"/>
      <c r="T3" s="84"/>
      <c r="U3" s="84"/>
    </row>
    <row r="4" spans="1:21" ht="33.75" x14ac:dyDescent="0.25">
      <c r="A4" s="104" t="s">
        <v>80</v>
      </c>
      <c r="B4" s="39" t="s">
        <v>98</v>
      </c>
      <c r="C4" s="44" t="s">
        <v>141</v>
      </c>
      <c r="D4" s="37" t="s">
        <v>94</v>
      </c>
      <c r="E4" s="84"/>
      <c r="F4" s="84"/>
      <c r="G4" s="84"/>
      <c r="H4" s="84"/>
      <c r="I4" s="84"/>
      <c r="J4" s="84"/>
      <c r="K4" s="84"/>
      <c r="L4" s="84"/>
      <c r="M4" s="84"/>
      <c r="N4" s="84"/>
      <c r="O4" s="84"/>
      <c r="P4" s="84"/>
      <c r="Q4" s="84"/>
      <c r="R4" s="84"/>
      <c r="S4" s="84"/>
      <c r="T4" s="84"/>
      <c r="U4" s="84"/>
    </row>
    <row r="5" spans="1:21" ht="101.25" x14ac:dyDescent="0.25">
      <c r="A5" s="104" t="s">
        <v>81</v>
      </c>
      <c r="B5" s="40" t="s">
        <v>57</v>
      </c>
      <c r="C5" s="45" t="s">
        <v>90</v>
      </c>
      <c r="D5" s="38" t="s">
        <v>95</v>
      </c>
      <c r="E5" s="84"/>
      <c r="F5" s="84"/>
      <c r="G5" s="84"/>
      <c r="H5" s="84"/>
      <c r="I5" s="84"/>
      <c r="J5" s="84"/>
      <c r="K5" s="84"/>
      <c r="L5" s="84"/>
      <c r="M5" s="84"/>
      <c r="N5" s="84"/>
      <c r="O5" s="84"/>
      <c r="P5" s="84"/>
      <c r="Q5" s="84"/>
      <c r="R5" s="84"/>
      <c r="S5" s="84"/>
      <c r="T5" s="84"/>
      <c r="U5" s="84"/>
    </row>
    <row r="6" spans="1:21" ht="67.5" x14ac:dyDescent="0.25">
      <c r="A6" s="104" t="s">
        <v>78</v>
      </c>
      <c r="B6" s="41" t="s">
        <v>58</v>
      </c>
      <c r="C6" s="45" t="s">
        <v>91</v>
      </c>
      <c r="D6" s="38" t="s">
        <v>97</v>
      </c>
      <c r="E6" s="84"/>
      <c r="F6" s="84"/>
      <c r="G6" s="84"/>
      <c r="H6" s="84"/>
      <c r="I6" s="84"/>
      <c r="J6" s="84"/>
      <c r="K6" s="84"/>
      <c r="L6" s="84"/>
      <c r="M6" s="84"/>
      <c r="N6" s="84"/>
      <c r="O6" s="84"/>
      <c r="P6" s="84"/>
      <c r="Q6" s="84"/>
      <c r="R6" s="84"/>
      <c r="S6" s="84"/>
      <c r="T6" s="84"/>
      <c r="U6" s="84"/>
    </row>
    <row r="7" spans="1:21" ht="101.25" x14ac:dyDescent="0.25">
      <c r="A7" s="104" t="s">
        <v>6</v>
      </c>
      <c r="B7" s="42" t="s">
        <v>59</v>
      </c>
      <c r="C7" s="45" t="s">
        <v>92</v>
      </c>
      <c r="D7" s="38" t="s">
        <v>96</v>
      </c>
      <c r="E7" s="84"/>
      <c r="F7" s="84"/>
      <c r="G7" s="84"/>
      <c r="H7" s="84"/>
      <c r="I7" s="84"/>
      <c r="J7" s="84"/>
      <c r="K7" s="84"/>
      <c r="L7" s="84"/>
      <c r="M7" s="84"/>
      <c r="N7" s="84"/>
      <c r="O7" s="84"/>
      <c r="P7" s="84"/>
      <c r="Q7" s="84"/>
      <c r="R7" s="84"/>
      <c r="S7" s="84"/>
      <c r="T7" s="84"/>
      <c r="U7" s="84"/>
    </row>
    <row r="8" spans="1:21" ht="67.5" x14ac:dyDescent="0.25">
      <c r="A8" s="104" t="s">
        <v>82</v>
      </c>
      <c r="B8" s="43" t="s">
        <v>60</v>
      </c>
      <c r="C8" s="45" t="s">
        <v>93</v>
      </c>
      <c r="D8" s="38" t="s">
        <v>110</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88</v>
      </c>
      <c r="C11" s="104" t="s">
        <v>129</v>
      </c>
      <c r="D11" s="104" t="s">
        <v>136</v>
      </c>
      <c r="E11" s="84"/>
      <c r="F11" s="84"/>
      <c r="G11" s="84"/>
      <c r="H11" s="84"/>
      <c r="I11" s="84"/>
      <c r="J11" s="84"/>
      <c r="K11" s="84"/>
      <c r="L11" s="84"/>
      <c r="M11" s="84"/>
      <c r="N11" s="84"/>
      <c r="O11" s="84"/>
      <c r="P11" s="84"/>
      <c r="Q11" s="84"/>
      <c r="R11" s="84"/>
      <c r="S11" s="84"/>
      <c r="T11" s="84"/>
      <c r="U11" s="84"/>
    </row>
    <row r="12" spans="1:21" x14ac:dyDescent="0.25">
      <c r="A12" s="104"/>
      <c r="B12" s="104" t="s">
        <v>86</v>
      </c>
      <c r="C12" s="104" t="s">
        <v>133</v>
      </c>
      <c r="D12" s="104" t="s">
        <v>137</v>
      </c>
      <c r="E12" s="84"/>
      <c r="F12" s="84"/>
      <c r="G12" s="84"/>
      <c r="H12" s="84"/>
      <c r="I12" s="84"/>
      <c r="J12" s="84"/>
      <c r="K12" s="84"/>
      <c r="L12" s="84"/>
      <c r="M12" s="84"/>
      <c r="N12" s="84"/>
      <c r="O12" s="84"/>
      <c r="P12" s="84"/>
      <c r="Q12" s="84"/>
      <c r="R12" s="84"/>
      <c r="S12" s="84"/>
      <c r="T12" s="84"/>
      <c r="U12" s="84"/>
    </row>
    <row r="13" spans="1:21" x14ac:dyDescent="0.25">
      <c r="A13" s="104"/>
      <c r="B13" s="104"/>
      <c r="C13" s="104" t="s">
        <v>132</v>
      </c>
      <c r="D13" s="104" t="s">
        <v>138</v>
      </c>
      <c r="E13" s="84"/>
      <c r="F13" s="84"/>
      <c r="G13" s="84"/>
      <c r="H13" s="84"/>
      <c r="I13" s="84"/>
      <c r="J13" s="84"/>
      <c r="K13" s="84"/>
      <c r="L13" s="84"/>
      <c r="M13" s="84"/>
      <c r="N13" s="84"/>
      <c r="O13" s="84"/>
      <c r="P13" s="84"/>
      <c r="Q13" s="84"/>
      <c r="R13" s="84"/>
      <c r="S13" s="84"/>
      <c r="T13" s="84"/>
      <c r="U13" s="84"/>
    </row>
    <row r="14" spans="1:21" x14ac:dyDescent="0.25">
      <c r="A14" s="104"/>
      <c r="B14" s="104"/>
      <c r="C14" s="104" t="s">
        <v>134</v>
      </c>
      <c r="D14" s="104" t="s">
        <v>139</v>
      </c>
      <c r="E14" s="84"/>
      <c r="F14" s="84"/>
      <c r="G14" s="84"/>
      <c r="H14" s="84"/>
      <c r="I14" s="84"/>
      <c r="J14" s="84"/>
      <c r="K14" s="84"/>
      <c r="L14" s="84"/>
      <c r="M14" s="84"/>
      <c r="N14" s="84"/>
      <c r="O14" s="84"/>
      <c r="P14" s="84"/>
      <c r="Q14" s="84"/>
      <c r="R14" s="84"/>
      <c r="S14" s="84"/>
      <c r="T14" s="84"/>
      <c r="U14" s="84"/>
    </row>
    <row r="15" spans="1:21" x14ac:dyDescent="0.25">
      <c r="A15" s="104"/>
      <c r="B15" s="104"/>
      <c r="C15" s="104" t="s">
        <v>135</v>
      </c>
      <c r="D15" s="104" t="s">
        <v>140</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85</v>
      </c>
      <c r="C209" s="30" t="s">
        <v>128</v>
      </c>
      <c r="D209" s="33" t="s">
        <v>85</v>
      </c>
      <c r="E209" s="33" t="s">
        <v>128</v>
      </c>
    </row>
    <row r="210" spans="1:8" ht="21" x14ac:dyDescent="0.35">
      <c r="A210" s="84"/>
      <c r="B210" s="31" t="s">
        <v>87</v>
      </c>
      <c r="C210" s="31" t="s">
        <v>56</v>
      </c>
      <c r="D210" t="s">
        <v>87</v>
      </c>
      <c r="F210" t="str">
        <f>IF(NOT(ISBLANK(D210)),D210,IF(NOT(ISBLANK(E210)),"     "&amp;E210,FALSE))</f>
        <v>Afectación Económica o presupuestal</v>
      </c>
      <c r="G210" t="s">
        <v>87</v>
      </c>
      <c r="H210" t="str">
        <f ca="1">IF(NOT(ISERROR(MATCH(G210,_xlfn.ANCHORARRAY(B221),0))),F223&amp;"Por favor no seleccionar los criterios de impacto",G210)</f>
        <v>Afectación Económica o presupuestal</v>
      </c>
    </row>
    <row r="211" spans="1:8" ht="21" x14ac:dyDescent="0.35">
      <c r="A211" s="84"/>
      <c r="B211" s="31" t="s">
        <v>87</v>
      </c>
      <c r="C211" s="31" t="s">
        <v>90</v>
      </c>
      <c r="E211" t="s">
        <v>56</v>
      </c>
      <c r="F211" t="str">
        <f t="shared" ref="F211:F221" si="0">IF(NOT(ISBLANK(D211)),D211,IF(NOT(ISBLANK(E211)),"     "&amp;E211,FALSE))</f>
        <v xml:space="preserve">     Afectación menor a 10 SMLMV .</v>
      </c>
    </row>
    <row r="212" spans="1:8" ht="21" x14ac:dyDescent="0.35">
      <c r="A212" s="84"/>
      <c r="B212" s="31" t="s">
        <v>87</v>
      </c>
      <c r="C212" s="31" t="s">
        <v>91</v>
      </c>
      <c r="E212" t="s">
        <v>90</v>
      </c>
      <c r="F212" t="str">
        <f t="shared" si="0"/>
        <v xml:space="preserve">     Entre 10 y 50 SMLMV </v>
      </c>
    </row>
    <row r="213" spans="1:8" ht="21" x14ac:dyDescent="0.35">
      <c r="A213" s="84"/>
      <c r="B213" s="31" t="s">
        <v>87</v>
      </c>
      <c r="C213" s="31" t="s">
        <v>92</v>
      </c>
      <c r="E213" t="s">
        <v>91</v>
      </c>
      <c r="F213" t="str">
        <f t="shared" si="0"/>
        <v xml:space="preserve">     Entre 50 y 100 SMLMV </v>
      </c>
    </row>
    <row r="214" spans="1:8" ht="21" x14ac:dyDescent="0.35">
      <c r="A214" s="84"/>
      <c r="B214" s="31" t="s">
        <v>87</v>
      </c>
      <c r="C214" s="31" t="s">
        <v>93</v>
      </c>
      <c r="E214" t="s">
        <v>92</v>
      </c>
      <c r="F214" t="str">
        <f t="shared" si="0"/>
        <v xml:space="preserve">     Entre 100 y 500 SMLMV </v>
      </c>
    </row>
    <row r="215" spans="1:8" ht="21" x14ac:dyDescent="0.35">
      <c r="A215" s="84"/>
      <c r="B215" s="31" t="s">
        <v>55</v>
      </c>
      <c r="C215" s="31" t="s">
        <v>94</v>
      </c>
      <c r="E215" t="s">
        <v>93</v>
      </c>
      <c r="F215" t="str">
        <f t="shared" si="0"/>
        <v xml:space="preserve">     Mayor a 500 SMLMV </v>
      </c>
    </row>
    <row r="216" spans="1:8" ht="21" x14ac:dyDescent="0.35">
      <c r="A216" s="84"/>
      <c r="B216" s="31" t="s">
        <v>55</v>
      </c>
      <c r="C216" s="31" t="s">
        <v>95</v>
      </c>
      <c r="D216" t="s">
        <v>55</v>
      </c>
      <c r="F216" t="str">
        <f t="shared" si="0"/>
        <v>Pérdida Reputacional</v>
      </c>
    </row>
    <row r="217" spans="1:8" ht="21" x14ac:dyDescent="0.35">
      <c r="A217" s="84"/>
      <c r="B217" s="31" t="s">
        <v>55</v>
      </c>
      <c r="C217" s="31" t="s">
        <v>97</v>
      </c>
      <c r="E217" t="s">
        <v>94</v>
      </c>
      <c r="F217" t="str">
        <f t="shared" si="0"/>
        <v xml:space="preserve">     El riesgo afecta la imagen de alguna área de la organización</v>
      </c>
    </row>
    <row r="218" spans="1:8" ht="21" x14ac:dyDescent="0.35">
      <c r="A218" s="84"/>
      <c r="B218" s="31" t="s">
        <v>55</v>
      </c>
      <c r="C218" s="31" t="s">
        <v>96</v>
      </c>
      <c r="E218" t="s">
        <v>95</v>
      </c>
      <c r="F218" t="str">
        <f t="shared" si="0"/>
        <v xml:space="preserve">     El riesgo afecta la imagen de la entidad internamente, de conocimiento general, nivel interno, de junta dircetiva y accionistas y/o de provedores</v>
      </c>
    </row>
    <row r="219" spans="1:8" ht="21" x14ac:dyDescent="0.35">
      <c r="A219" s="84"/>
      <c r="B219" s="31" t="s">
        <v>55</v>
      </c>
      <c r="C219" s="31" t="s">
        <v>110</v>
      </c>
      <c r="E219" t="s">
        <v>97</v>
      </c>
      <c r="F219" t="str">
        <f t="shared" si="0"/>
        <v xml:space="preserve">     El riesgo afecta la imagen de la entidad con algunos usuarios de relevancia frente al logro de los objetivos</v>
      </c>
    </row>
    <row r="220" spans="1:8" x14ac:dyDescent="0.25">
      <c r="A220" s="84"/>
      <c r="B220" s="32"/>
      <c r="C220" s="32"/>
      <c r="E220" t="s">
        <v>96</v>
      </c>
      <c r="F220" t="str">
        <f t="shared" si="0"/>
        <v xml:space="preserve">     El riesgo afecta la imagen de de la entidad con efecto publicitario sostenido a nivel de sector administrativo, nivel departamental o municipal</v>
      </c>
    </row>
    <row r="221" spans="1:8" x14ac:dyDescent="0.25">
      <c r="A221" s="84"/>
      <c r="B221" s="32" t="e" cm="1" vm="1">
        <f t="array" aca="1" ref="B221:B223" ca="1">_xlfn.UNIQUE(Tabla1[[#All],[Criterios]])</f>
        <v>#NAME?</v>
      </c>
      <c r="C221" s="32"/>
      <c r="E221" t="s">
        <v>110</v>
      </c>
      <c r="F221" t="str">
        <f t="shared" si="0"/>
        <v xml:space="preserve">     El riesgo afecta la imagen de la entidad a nivel nacional, con efecto publicitarios sostenible a nivel país</v>
      </c>
    </row>
    <row r="222" spans="1:8" x14ac:dyDescent="0.25">
      <c r="A222" s="84"/>
      <c r="B222" s="32" t="e" vm="1">
        <f ca="1"/>
        <v>#NAME?</v>
      </c>
      <c r="C222" s="32"/>
    </row>
    <row r="223" spans="1:8" x14ac:dyDescent="0.25">
      <c r="B223" s="32" t="e" vm="1">
        <f ca="1"/>
        <v>#NAME?</v>
      </c>
      <c r="C223" s="32"/>
      <c r="F223" s="35" t="s">
        <v>130</v>
      </c>
    </row>
    <row r="224" spans="1:8" x14ac:dyDescent="0.25">
      <c r="B224" s="22"/>
      <c r="C224" s="22"/>
      <c r="F224" s="35" t="s">
        <v>131</v>
      </c>
    </row>
    <row r="225" spans="2:4" x14ac:dyDescent="0.25">
      <c r="B225" s="22"/>
      <c r="C225" s="22"/>
    </row>
    <row r="226" spans="2:4" x14ac:dyDescent="0.25">
      <c r="B226" s="22"/>
      <c r="C226" s="22"/>
    </row>
    <row r="227" spans="2:4" x14ac:dyDescent="0.25">
      <c r="B227" s="22" t="s">
        <v>200</v>
      </c>
      <c r="C227" s="22"/>
      <c r="D227" s="22"/>
    </row>
    <row r="228" spans="2:4" x14ac:dyDescent="0.25">
      <c r="B228" t="s">
        <v>85</v>
      </c>
      <c r="C228" s="22" t="s">
        <v>128</v>
      </c>
      <c r="D228" s="33" t="s">
        <v>201</v>
      </c>
    </row>
    <row r="229" spans="2:4" x14ac:dyDescent="0.25">
      <c r="B229" s="150" t="s">
        <v>203</v>
      </c>
      <c r="C229" s="22" t="s">
        <v>193</v>
      </c>
      <c r="D229" s="148" t="s">
        <v>203</v>
      </c>
    </row>
    <row r="230" spans="2:4" x14ac:dyDescent="0.25">
      <c r="B230" s="150" t="s">
        <v>203</v>
      </c>
      <c r="C230" s="22" t="s">
        <v>194</v>
      </c>
      <c r="D230" s="149" t="s">
        <v>193</v>
      </c>
    </row>
    <row r="231" spans="2:4" x14ac:dyDescent="0.25">
      <c r="B231" s="150" t="s">
        <v>203</v>
      </c>
      <c r="C231" s="22" t="s">
        <v>195</v>
      </c>
      <c r="D231" s="149" t="s">
        <v>194</v>
      </c>
    </row>
    <row r="232" spans="2:4" x14ac:dyDescent="0.25">
      <c r="B232" s="150" t="s">
        <v>204</v>
      </c>
      <c r="C232" s="22" t="s">
        <v>196</v>
      </c>
      <c r="D232" s="149" t="s">
        <v>195</v>
      </c>
    </row>
    <row r="233" spans="2:4" x14ac:dyDescent="0.25">
      <c r="B233" s="150" t="s">
        <v>204</v>
      </c>
      <c r="C233" s="22" t="s">
        <v>197</v>
      </c>
      <c r="D233" s="148" t="s">
        <v>204</v>
      </c>
    </row>
    <row r="234" spans="2:4" x14ac:dyDescent="0.25">
      <c r="B234" s="150" t="s">
        <v>204</v>
      </c>
      <c r="C234" s="22" t="s">
        <v>198</v>
      </c>
      <c r="D234" s="149" t="s">
        <v>196</v>
      </c>
    </row>
    <row r="235" spans="2:4" x14ac:dyDescent="0.25">
      <c r="B235" s="150" t="s">
        <v>204</v>
      </c>
      <c r="C235" s="22" t="s">
        <v>199</v>
      </c>
      <c r="D235" s="149" t="s">
        <v>197</v>
      </c>
    </row>
    <row r="236" spans="2:4" x14ac:dyDescent="0.25">
      <c r="D236" s="149" t="s">
        <v>198</v>
      </c>
    </row>
    <row r="237" spans="2:4" x14ac:dyDescent="0.25">
      <c r="D237" s="149" t="s">
        <v>199</v>
      </c>
    </row>
    <row r="238" spans="2:4" x14ac:dyDescent="0.25">
      <c r="D238" s="148" t="s">
        <v>202</v>
      </c>
    </row>
  </sheetData>
  <mergeCells count="1">
    <mergeCell ref="B1:D1"/>
  </mergeCells>
  <dataValidations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F4" sqref="F4:F6"/>
    </sheetView>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422" t="s">
        <v>205</v>
      </c>
      <c r="C1" s="423"/>
      <c r="D1" s="423"/>
      <c r="E1" s="423"/>
      <c r="F1" s="424"/>
    </row>
    <row r="2" spans="2:6" ht="16.5" thickBot="1" x14ac:dyDescent="0.3">
      <c r="B2" s="90"/>
      <c r="C2" s="90"/>
      <c r="D2" s="90"/>
      <c r="E2" s="90"/>
      <c r="F2" s="90"/>
    </row>
    <row r="3" spans="2:6" ht="16.5" thickBot="1" x14ac:dyDescent="0.25">
      <c r="B3" s="426" t="s">
        <v>62</v>
      </c>
      <c r="C3" s="427"/>
      <c r="D3" s="427"/>
      <c r="E3" s="102" t="s">
        <v>63</v>
      </c>
      <c r="F3" s="103" t="s">
        <v>64</v>
      </c>
    </row>
    <row r="4" spans="2:6" ht="31.5" x14ac:dyDescent="0.2">
      <c r="B4" s="428" t="s">
        <v>65</v>
      </c>
      <c r="C4" s="430" t="s">
        <v>12</v>
      </c>
      <c r="D4" s="91" t="s">
        <v>13</v>
      </c>
      <c r="E4" s="92" t="s">
        <v>66</v>
      </c>
      <c r="F4" s="93">
        <v>0.25</v>
      </c>
    </row>
    <row r="5" spans="2:6" ht="47.25" x14ac:dyDescent="0.2">
      <c r="B5" s="429"/>
      <c r="C5" s="431"/>
      <c r="D5" s="94" t="s">
        <v>14</v>
      </c>
      <c r="E5" s="95" t="s">
        <v>67</v>
      </c>
      <c r="F5" s="96">
        <v>0.15</v>
      </c>
    </row>
    <row r="6" spans="2:6" ht="47.25" x14ac:dyDescent="0.2">
      <c r="B6" s="429"/>
      <c r="C6" s="431"/>
      <c r="D6" s="94" t="s">
        <v>15</v>
      </c>
      <c r="E6" s="95" t="s">
        <v>68</v>
      </c>
      <c r="F6" s="96">
        <v>0.1</v>
      </c>
    </row>
    <row r="7" spans="2:6" ht="63" x14ac:dyDescent="0.2">
      <c r="B7" s="429"/>
      <c r="C7" s="431" t="s">
        <v>16</v>
      </c>
      <c r="D7" s="94" t="s">
        <v>9</v>
      </c>
      <c r="E7" s="95" t="s">
        <v>69</v>
      </c>
      <c r="F7" s="96">
        <v>0.25</v>
      </c>
    </row>
    <row r="8" spans="2:6" ht="31.5" x14ac:dyDescent="0.2">
      <c r="B8" s="429"/>
      <c r="C8" s="431"/>
      <c r="D8" s="94" t="s">
        <v>8</v>
      </c>
      <c r="E8" s="95" t="s">
        <v>70</v>
      </c>
      <c r="F8" s="96">
        <v>0.15</v>
      </c>
    </row>
    <row r="9" spans="2:6" ht="47.25" x14ac:dyDescent="0.2">
      <c r="B9" s="429" t="s">
        <v>145</v>
      </c>
      <c r="C9" s="431" t="s">
        <v>17</v>
      </c>
      <c r="D9" s="94" t="s">
        <v>18</v>
      </c>
      <c r="E9" s="95" t="s">
        <v>71</v>
      </c>
      <c r="F9" s="97" t="s">
        <v>72</v>
      </c>
    </row>
    <row r="10" spans="2:6" ht="63" x14ac:dyDescent="0.2">
      <c r="B10" s="429"/>
      <c r="C10" s="431"/>
      <c r="D10" s="94" t="s">
        <v>19</v>
      </c>
      <c r="E10" s="95" t="s">
        <v>73</v>
      </c>
      <c r="F10" s="97" t="s">
        <v>72</v>
      </c>
    </row>
    <row r="11" spans="2:6" ht="47.25" x14ac:dyDescent="0.2">
      <c r="B11" s="429"/>
      <c r="C11" s="431" t="s">
        <v>20</v>
      </c>
      <c r="D11" s="94" t="s">
        <v>21</v>
      </c>
      <c r="E11" s="95" t="s">
        <v>74</v>
      </c>
      <c r="F11" s="97" t="s">
        <v>72</v>
      </c>
    </row>
    <row r="12" spans="2:6" ht="47.25" x14ac:dyDescent="0.2">
      <c r="B12" s="429"/>
      <c r="C12" s="431"/>
      <c r="D12" s="94" t="s">
        <v>22</v>
      </c>
      <c r="E12" s="95" t="s">
        <v>75</v>
      </c>
      <c r="F12" s="97" t="s">
        <v>72</v>
      </c>
    </row>
    <row r="13" spans="2:6" ht="31.5" x14ac:dyDescent="0.2">
      <c r="B13" s="429"/>
      <c r="C13" s="431" t="s">
        <v>23</v>
      </c>
      <c r="D13" s="94" t="s">
        <v>111</v>
      </c>
      <c r="E13" s="95" t="s">
        <v>114</v>
      </c>
      <c r="F13" s="97" t="s">
        <v>72</v>
      </c>
    </row>
    <row r="14" spans="2:6" ht="32.25" thickBot="1" x14ac:dyDescent="0.25">
      <c r="B14" s="432"/>
      <c r="C14" s="433"/>
      <c r="D14" s="98" t="s">
        <v>112</v>
      </c>
      <c r="E14" s="99" t="s">
        <v>113</v>
      </c>
      <c r="F14" s="100" t="s">
        <v>72</v>
      </c>
    </row>
    <row r="15" spans="2:6" ht="49.5" customHeight="1" x14ac:dyDescent="0.2">
      <c r="B15" s="425" t="s">
        <v>142</v>
      </c>
      <c r="C15" s="425"/>
      <c r="D15" s="425"/>
      <c r="E15" s="425"/>
      <c r="F15" s="425"/>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DF99C-D2D6-4BA7-96EB-7943126AB39B}">
  <dimension ref="A1:G36"/>
  <sheetViews>
    <sheetView topLeftCell="D1" zoomScaleNormal="100" workbookViewId="0">
      <selection activeCell="E2" sqref="E2"/>
    </sheetView>
  </sheetViews>
  <sheetFormatPr baseColWidth="10" defaultRowHeight="15" x14ac:dyDescent="0.25"/>
  <cols>
    <col min="1" max="1" width="57.85546875" customWidth="1"/>
    <col min="3" max="3" width="32" bestFit="1" customWidth="1"/>
    <col min="4" max="4" width="119.28515625" bestFit="1" customWidth="1"/>
    <col min="5" max="5" width="81" customWidth="1"/>
  </cols>
  <sheetData>
    <row r="1" spans="1:5" ht="15.75" thickBot="1" x14ac:dyDescent="0.3">
      <c r="A1" s="144" t="s">
        <v>175</v>
      </c>
      <c r="D1" s="434" t="s">
        <v>176</v>
      </c>
      <c r="E1" s="435"/>
    </row>
    <row r="2" spans="1:5" x14ac:dyDescent="0.25">
      <c r="A2" s="153" t="s">
        <v>270</v>
      </c>
      <c r="D2" s="436" t="s">
        <v>177</v>
      </c>
      <c r="E2" s="152" t="s">
        <v>247</v>
      </c>
    </row>
    <row r="3" spans="1:5" x14ac:dyDescent="0.25">
      <c r="A3" s="154" t="s">
        <v>271</v>
      </c>
      <c r="D3" s="437"/>
      <c r="E3" s="152" t="s">
        <v>248</v>
      </c>
    </row>
    <row r="4" spans="1:5" x14ac:dyDescent="0.25">
      <c r="A4" s="154" t="s">
        <v>272</v>
      </c>
      <c r="D4" s="437"/>
      <c r="E4" s="152" t="s">
        <v>249</v>
      </c>
    </row>
    <row r="5" spans="1:5" x14ac:dyDescent="0.25">
      <c r="A5" s="155" t="s">
        <v>273</v>
      </c>
      <c r="D5" s="438"/>
      <c r="E5" s="152" t="s">
        <v>250</v>
      </c>
    </row>
    <row r="6" spans="1:5" ht="27" x14ac:dyDescent="0.25">
      <c r="A6" s="156" t="s">
        <v>274</v>
      </c>
      <c r="D6" s="436" t="s">
        <v>178</v>
      </c>
      <c r="E6" s="152" t="s">
        <v>251</v>
      </c>
    </row>
    <row r="7" spans="1:5" x14ac:dyDescent="0.25">
      <c r="A7" s="156" t="s">
        <v>275</v>
      </c>
      <c r="D7" s="437"/>
      <c r="E7" s="152" t="s">
        <v>252</v>
      </c>
    </row>
    <row r="8" spans="1:5" x14ac:dyDescent="0.25">
      <c r="A8" s="155" t="s">
        <v>276</v>
      </c>
      <c r="D8" s="437"/>
      <c r="E8" s="152" t="s">
        <v>253</v>
      </c>
    </row>
    <row r="9" spans="1:5" x14ac:dyDescent="0.25">
      <c r="A9" s="155" t="s">
        <v>277</v>
      </c>
      <c r="D9" s="436" t="s">
        <v>179</v>
      </c>
      <c r="E9" s="152" t="s">
        <v>254</v>
      </c>
    </row>
    <row r="10" spans="1:5" x14ac:dyDescent="0.25">
      <c r="A10" s="157" t="s">
        <v>278</v>
      </c>
      <c r="D10" s="437"/>
      <c r="E10" s="152" t="s">
        <v>255</v>
      </c>
    </row>
    <row r="11" spans="1:5" x14ac:dyDescent="0.25">
      <c r="A11" s="157" t="s">
        <v>279</v>
      </c>
      <c r="D11" s="436" t="s">
        <v>180</v>
      </c>
      <c r="E11" s="152" t="s">
        <v>256</v>
      </c>
    </row>
    <row r="12" spans="1:5" x14ac:dyDescent="0.25">
      <c r="A12" s="157" t="s">
        <v>280</v>
      </c>
      <c r="D12" s="437"/>
      <c r="E12" s="152" t="s">
        <v>257</v>
      </c>
    </row>
    <row r="13" spans="1:5" x14ac:dyDescent="0.25">
      <c r="A13" s="157" t="s">
        <v>281</v>
      </c>
      <c r="D13" s="438"/>
      <c r="E13" s="152" t="s">
        <v>258</v>
      </c>
    </row>
    <row r="14" spans="1:5" x14ac:dyDescent="0.25">
      <c r="A14" s="157" t="s">
        <v>282</v>
      </c>
      <c r="E14" s="152" t="s">
        <v>259</v>
      </c>
    </row>
    <row r="15" spans="1:5" x14ac:dyDescent="0.25">
      <c r="A15" s="157" t="s">
        <v>283</v>
      </c>
      <c r="D15" s="146" t="s">
        <v>184</v>
      </c>
      <c r="E15" s="152" t="s">
        <v>260</v>
      </c>
    </row>
    <row r="16" spans="1:5" x14ac:dyDescent="0.25">
      <c r="A16" s="157" t="s">
        <v>284</v>
      </c>
      <c r="D16" s="147" t="s">
        <v>185</v>
      </c>
      <c r="E16" s="152" t="s">
        <v>261</v>
      </c>
    </row>
    <row r="17" spans="1:7" ht="15.75" thickBot="1" x14ac:dyDescent="0.3">
      <c r="A17" s="158" t="s">
        <v>285</v>
      </c>
      <c r="D17" s="147" t="s">
        <v>186</v>
      </c>
      <c r="E17" s="152" t="s">
        <v>262</v>
      </c>
    </row>
    <row r="18" spans="1:7" x14ac:dyDescent="0.25">
      <c r="A18" s="145"/>
      <c r="D18" s="147" t="s">
        <v>187</v>
      </c>
      <c r="E18" s="152" t="s">
        <v>263</v>
      </c>
    </row>
    <row r="19" spans="1:7" x14ac:dyDescent="0.25">
      <c r="A19" s="145"/>
      <c r="D19" s="147" t="s">
        <v>188</v>
      </c>
      <c r="E19" s="152" t="s">
        <v>264</v>
      </c>
    </row>
    <row r="20" spans="1:7" x14ac:dyDescent="0.25">
      <c r="A20" s="145"/>
      <c r="D20" s="147" t="s">
        <v>189</v>
      </c>
      <c r="E20" s="152" t="s">
        <v>265</v>
      </c>
    </row>
    <row r="21" spans="1:7" x14ac:dyDescent="0.25">
      <c r="A21" s="147"/>
      <c r="D21" s="147" t="s">
        <v>190</v>
      </c>
      <c r="E21" s="152" t="s">
        <v>266</v>
      </c>
    </row>
    <row r="22" spans="1:7" x14ac:dyDescent="0.25">
      <c r="A22" s="145"/>
      <c r="D22" s="147" t="s">
        <v>191</v>
      </c>
      <c r="E22" s="152" t="s">
        <v>267</v>
      </c>
    </row>
    <row r="23" spans="1:7" x14ac:dyDescent="0.25">
      <c r="A23" s="151"/>
      <c r="E23" s="152" t="s">
        <v>268</v>
      </c>
    </row>
    <row r="24" spans="1:7" x14ac:dyDescent="0.25">
      <c r="A24" s="146" t="s">
        <v>192</v>
      </c>
      <c r="E24" s="152" t="s">
        <v>269</v>
      </c>
    </row>
    <row r="25" spans="1:7" ht="20.25" x14ac:dyDescent="0.25">
      <c r="A25" s="147" t="s">
        <v>185</v>
      </c>
      <c r="B25" s="30"/>
    </row>
    <row r="26" spans="1:7" ht="21" x14ac:dyDescent="0.35">
      <c r="A26" s="147" t="s">
        <v>186</v>
      </c>
      <c r="B26" s="31"/>
      <c r="F26" t="s">
        <v>87</v>
      </c>
      <c r="G26" t="str">
        <f ca="1">IF(NOT(ISERROR(MATCH(F26,_xlfn.ANCHORARRAY(A37),0))),E39&amp;"Por favor no seleccionar los criterios de impacto",F26)</f>
        <v>Afectación Económica o presupuestal</v>
      </c>
    </row>
    <row r="27" spans="1:7" ht="21" x14ac:dyDescent="0.35">
      <c r="A27" s="147" t="s">
        <v>187</v>
      </c>
      <c r="B27" s="31"/>
    </row>
    <row r="28" spans="1:7" ht="21" x14ac:dyDescent="0.35">
      <c r="A28" s="147" t="s">
        <v>188</v>
      </c>
      <c r="B28" s="31"/>
    </row>
    <row r="29" spans="1:7" ht="21" x14ac:dyDescent="0.35">
      <c r="A29" s="147" t="s">
        <v>189</v>
      </c>
      <c r="B29" s="31"/>
    </row>
    <row r="30" spans="1:7" ht="21" x14ac:dyDescent="0.35">
      <c r="A30" s="147" t="s">
        <v>190</v>
      </c>
      <c r="B30" s="31"/>
    </row>
    <row r="31" spans="1:7" ht="21" x14ac:dyDescent="0.35">
      <c r="A31" s="147" t="s">
        <v>191</v>
      </c>
      <c r="B31" s="31"/>
    </row>
    <row r="32" spans="1:7" ht="21" x14ac:dyDescent="0.35">
      <c r="A32" s="31"/>
      <c r="B32" s="31"/>
    </row>
    <row r="33" spans="1:2" ht="21" x14ac:dyDescent="0.35">
      <c r="A33" s="31"/>
      <c r="B33" s="31"/>
    </row>
    <row r="34" spans="1:2" ht="21" x14ac:dyDescent="0.35">
      <c r="A34" s="31"/>
      <c r="B34" s="31"/>
    </row>
    <row r="35" spans="1:2" ht="21" x14ac:dyDescent="0.35">
      <c r="A35" s="31"/>
      <c r="B35" s="31"/>
    </row>
    <row r="36" spans="1:2" x14ac:dyDescent="0.25">
      <c r="A36" s="32"/>
      <c r="B36" s="32"/>
    </row>
  </sheetData>
  <mergeCells count="5">
    <mergeCell ref="D1:E1"/>
    <mergeCell ref="D2:D5"/>
    <mergeCell ref="D6:D8"/>
    <mergeCell ref="D9:D10"/>
    <mergeCell ref="D11:D13"/>
  </mergeCells>
  <conditionalFormatting sqref="E2:E24">
    <cfRule type="duplicateValues" dxfId="0" priority="1"/>
  </conditionalFormatting>
  <dataValidations count="1">
    <dataValidation type="list" allowBlank="1" showInputMessage="1" showErrorMessage="1" sqref="F26" xr:uid="{3041C93A-0598-49D2-9F31-324C89A32034}">
      <formula1>$F$210:$F$221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B20" sqref="B20"/>
    </sheetView>
  </sheetViews>
  <sheetFormatPr baseColWidth="10" defaultRowHeight="15" x14ac:dyDescent="0.25"/>
  <sheetData>
    <row r="2" spans="2:5" x14ac:dyDescent="0.25">
      <c r="B2" t="s">
        <v>30</v>
      </c>
      <c r="E2" t="s">
        <v>117</v>
      </c>
    </row>
    <row r="3" spans="2:5" x14ac:dyDescent="0.25">
      <c r="B3" t="s">
        <v>31</v>
      </c>
      <c r="E3" t="s">
        <v>116</v>
      </c>
    </row>
    <row r="4" spans="2:5" x14ac:dyDescent="0.25">
      <c r="B4" t="s">
        <v>121</v>
      </c>
      <c r="E4" t="s">
        <v>118</v>
      </c>
    </row>
    <row r="5" spans="2:5" x14ac:dyDescent="0.25">
      <c r="B5" t="s">
        <v>120</v>
      </c>
    </row>
    <row r="8" spans="2:5" x14ac:dyDescent="0.25">
      <c r="B8" t="s">
        <v>83</v>
      </c>
    </row>
    <row r="9" spans="2:5" x14ac:dyDescent="0.25">
      <c r="B9" t="s">
        <v>39</v>
      </c>
    </row>
    <row r="10" spans="2:5" x14ac:dyDescent="0.25">
      <c r="B10" t="s">
        <v>40</v>
      </c>
    </row>
    <row r="11" spans="2:5" x14ac:dyDescent="0.25">
      <c r="B11" t="s">
        <v>211</v>
      </c>
    </row>
    <row r="13" spans="2:5" x14ac:dyDescent="0.25">
      <c r="B13" t="s">
        <v>212</v>
      </c>
    </row>
    <row r="14" spans="2:5" x14ac:dyDescent="0.25">
      <c r="B14" t="s">
        <v>213</v>
      </c>
    </row>
    <row r="15" spans="2:5" x14ac:dyDescent="0.25">
      <c r="B15" t="s">
        <v>214</v>
      </c>
    </row>
    <row r="16" spans="2:5" x14ac:dyDescent="0.25">
      <c r="B16" t="s">
        <v>215</v>
      </c>
    </row>
    <row r="17" spans="2:2" x14ac:dyDescent="0.25">
      <c r="B17" t="s">
        <v>216</v>
      </c>
    </row>
    <row r="18" spans="2:2" x14ac:dyDescent="0.25">
      <c r="B18" t="s">
        <v>217</v>
      </c>
    </row>
    <row r="19" spans="2:2" x14ac:dyDescent="0.25">
      <c r="B19" t="s">
        <v>218</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Procesos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FAMILIA AGAMEZ NUÑEZ</cp:lastModifiedBy>
  <cp:lastPrinted>2020-05-13T01:12:22Z</cp:lastPrinted>
  <dcterms:created xsi:type="dcterms:W3CDTF">2020-03-24T23:12:47Z</dcterms:created>
  <dcterms:modified xsi:type="dcterms:W3CDTF">2022-09-19T22:10:31Z</dcterms:modified>
</cp:coreProperties>
</file>